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5bd206762d9f56f/Calculators/"/>
    </mc:Choice>
  </mc:AlternateContent>
  <xr:revisionPtr revIDLastSave="4" documentId="8_{A5B20786-A8A8-4BA8-92AA-E4BAFB60793B}" xr6:coauthVersionLast="47" xr6:coauthVersionMax="47" xr10:uidLastSave="{404A27A9-692F-4AEE-A47E-B07F1A47DA0C}"/>
  <bookViews>
    <workbookView xWindow="-120" yWindow="-120" windowWidth="20730" windowHeight="11160" xr2:uid="{C2F9A7E6-9909-4F7A-B632-6F71A6D9F90F}"/>
  </bookViews>
  <sheets>
    <sheet name="Sheet1" sheetId="1" r:id="rId1"/>
  </sheets>
  <definedNames>
    <definedName name="_xlnm.Print_Area" localSheetId="0">Sheet1!$B$1:$U$61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1" l="1"/>
  <c r="G25" i="1"/>
  <c r="D25" i="1"/>
  <c r="G20" i="1" l="1"/>
  <c r="M22" i="1" l="1"/>
  <c r="M21" i="1"/>
  <c r="M11" i="1"/>
  <c r="M86" i="1"/>
  <c r="M87" i="1" s="1"/>
  <c r="M85" i="1"/>
  <c r="M84" i="1"/>
  <c r="M83" i="1"/>
  <c r="Q82" i="1"/>
  <c r="O82" i="1"/>
  <c r="N82" i="1"/>
  <c r="N83" i="1" s="1"/>
  <c r="M82" i="1"/>
  <c r="P82" i="1" s="1"/>
  <c r="N65" i="1"/>
  <c r="N66" i="1" s="1"/>
  <c r="N67" i="1" s="1"/>
  <c r="N68" i="1" s="1"/>
  <c r="N69" i="1" s="1"/>
  <c r="N70" i="1" s="1"/>
  <c r="N71" i="1" s="1"/>
  <c r="N72" i="1" s="1"/>
  <c r="N73" i="1" s="1"/>
  <c r="N74" i="1" s="1"/>
  <c r="N75" i="1" s="1"/>
  <c r="N76" i="1" s="1"/>
  <c r="N77" i="1" s="1"/>
  <c r="N78" i="1" s="1"/>
  <c r="N79" i="1" s="1"/>
  <c r="N80" i="1" s="1"/>
  <c r="N81" i="1" s="1"/>
  <c r="N64" i="1"/>
  <c r="S63" i="1"/>
  <c r="Q63" i="1"/>
  <c r="P63" i="1"/>
  <c r="O64" i="1"/>
  <c r="M64" i="1"/>
  <c r="M65" i="1" s="1"/>
  <c r="O63" i="1"/>
  <c r="S64" i="1" l="1"/>
  <c r="S65" i="1" s="1"/>
  <c r="R63" i="1"/>
  <c r="O83" i="1"/>
  <c r="P83" i="1" s="1"/>
  <c r="N84" i="1"/>
  <c r="M88" i="1"/>
  <c r="O65" i="1"/>
  <c r="P64" i="1"/>
  <c r="Q64" i="1"/>
  <c r="M66" i="1"/>
  <c r="Q65" i="1"/>
  <c r="P65" i="1"/>
  <c r="B31" i="1"/>
  <c r="D73" i="1"/>
  <c r="R64" i="1" l="1"/>
  <c r="N85" i="1"/>
  <c r="O84" i="1"/>
  <c r="Q83" i="1"/>
  <c r="M89" i="1"/>
  <c r="R65" i="1"/>
  <c r="S66" i="1"/>
  <c r="M67" i="1"/>
  <c r="O66" i="1"/>
  <c r="Q66" i="1" s="1"/>
  <c r="C50" i="1" a="1"/>
  <c r="C50" i="1" s="1"/>
  <c r="P84" i="1" l="1"/>
  <c r="Q84" i="1"/>
  <c r="O85" i="1"/>
  <c r="N86" i="1"/>
  <c r="M90" i="1"/>
  <c r="P66" i="1"/>
  <c r="R66" i="1"/>
  <c r="S67" i="1"/>
  <c r="M68" i="1"/>
  <c r="O67" i="1"/>
  <c r="Q67" i="1" s="1"/>
  <c r="D65" i="1"/>
  <c r="C64" i="1"/>
  <c r="C63" i="1"/>
  <c r="D63" i="1" s="1"/>
  <c r="P85" i="1" l="1"/>
  <c r="Q85" i="1"/>
  <c r="M91" i="1"/>
  <c r="N87" i="1"/>
  <c r="O86" i="1"/>
  <c r="P67" i="1"/>
  <c r="R67" i="1"/>
  <c r="S68" i="1"/>
  <c r="M69" i="1"/>
  <c r="O68" i="1"/>
  <c r="P68" i="1" s="1"/>
  <c r="H63" i="1"/>
  <c r="D7" i="1"/>
  <c r="P86" i="1" l="1"/>
  <c r="Q86" i="1"/>
  <c r="N88" i="1"/>
  <c r="O87" i="1"/>
  <c r="M92" i="1"/>
  <c r="Q68" i="1"/>
  <c r="S69" i="1"/>
  <c r="R68" i="1"/>
  <c r="M70" i="1"/>
  <c r="O69" i="1"/>
  <c r="Q69" i="1" s="1"/>
  <c r="D66" i="1"/>
  <c r="I66" i="1" s="1"/>
  <c r="C29" i="1"/>
  <c r="D29" i="1" s="1"/>
  <c r="D68" i="1"/>
  <c r="N89" i="1" l="1"/>
  <c r="O88" i="1"/>
  <c r="M93" i="1"/>
  <c r="Q87" i="1"/>
  <c r="P87" i="1"/>
  <c r="P69" i="1"/>
  <c r="S70" i="1"/>
  <c r="R69" i="1"/>
  <c r="M71" i="1"/>
  <c r="O70" i="1"/>
  <c r="Q70" i="1" s="1"/>
  <c r="H66" i="1"/>
  <c r="O89" i="1" l="1"/>
  <c r="N90" i="1"/>
  <c r="P88" i="1"/>
  <c r="Q88" i="1"/>
  <c r="M94" i="1"/>
  <c r="P70" i="1"/>
  <c r="R70" i="1"/>
  <c r="S71" i="1"/>
  <c r="M72" i="1"/>
  <c r="O71" i="1"/>
  <c r="Q71" i="1" s="1"/>
  <c r="D49" i="1"/>
  <c r="C65" i="1" s="1"/>
  <c r="H73" i="1"/>
  <c r="I73" i="1"/>
  <c r="K8" i="1"/>
  <c r="D64" i="1"/>
  <c r="O90" i="1" l="1"/>
  <c r="N91" i="1"/>
  <c r="Q89" i="1"/>
  <c r="P89" i="1"/>
  <c r="M95" i="1"/>
  <c r="P71" i="1"/>
  <c r="R71" i="1"/>
  <c r="S72" i="1"/>
  <c r="M73" i="1"/>
  <c r="O72" i="1"/>
  <c r="P72" i="1" s="1"/>
  <c r="J49" i="1"/>
  <c r="H48" i="1"/>
  <c r="D48" i="1"/>
  <c r="M41" i="1"/>
  <c r="H64" i="1"/>
  <c r="I64" i="1"/>
  <c r="N41" i="1"/>
  <c r="G15" i="1"/>
  <c r="G13" i="1"/>
  <c r="G14" i="1" s="1"/>
  <c r="O91" i="1" l="1"/>
  <c r="N92" i="1"/>
  <c r="M96" i="1"/>
  <c r="Q90" i="1"/>
  <c r="P90" i="1"/>
  <c r="Q72" i="1"/>
  <c r="S73" i="1"/>
  <c r="R72" i="1"/>
  <c r="M74" i="1"/>
  <c r="O73" i="1"/>
  <c r="Q73" i="1" s="1"/>
  <c r="D53" i="1"/>
  <c r="G16" i="1"/>
  <c r="J8" i="1"/>
  <c r="L49" i="1" s="1"/>
  <c r="M97" i="1" l="1"/>
  <c r="Q91" i="1"/>
  <c r="P91" i="1"/>
  <c r="N93" i="1"/>
  <c r="O92" i="1"/>
  <c r="P73" i="1"/>
  <c r="S74" i="1"/>
  <c r="R73" i="1"/>
  <c r="M75" i="1"/>
  <c r="O74" i="1"/>
  <c r="Q74" i="1" s="1"/>
  <c r="D38" i="1"/>
  <c r="H38" i="1"/>
  <c r="K49" i="1"/>
  <c r="G17" i="1"/>
  <c r="N94" i="1" l="1"/>
  <c r="O93" i="1"/>
  <c r="P92" i="1"/>
  <c r="Q92" i="1"/>
  <c r="M98" i="1"/>
  <c r="P74" i="1"/>
  <c r="S75" i="1"/>
  <c r="R74" i="1"/>
  <c r="M76" i="1"/>
  <c r="O75" i="1"/>
  <c r="Q75" i="1" s="1"/>
  <c r="G19" i="1"/>
  <c r="G18" i="1"/>
  <c r="M99" i="1" l="1"/>
  <c r="Q93" i="1"/>
  <c r="P93" i="1"/>
  <c r="O94" i="1"/>
  <c r="N95" i="1"/>
  <c r="P75" i="1"/>
  <c r="R75" i="1"/>
  <c r="S76" i="1"/>
  <c r="M77" i="1"/>
  <c r="O76" i="1"/>
  <c r="P76" i="1" s="1"/>
  <c r="D51" i="1"/>
  <c r="D52" i="1" s="1"/>
  <c r="D50" i="1"/>
  <c r="N96" i="1" l="1"/>
  <c r="O95" i="1"/>
  <c r="P94" i="1"/>
  <c r="Q94" i="1"/>
  <c r="Q76" i="1"/>
  <c r="R76" i="1" s="1"/>
  <c r="S77" i="1"/>
  <c r="M78" i="1"/>
  <c r="O77" i="1"/>
  <c r="Q77" i="1" s="1"/>
  <c r="D54" i="1"/>
  <c r="D55" i="1" s="1"/>
  <c r="D56" i="1"/>
  <c r="D67" i="1" s="1"/>
  <c r="L50" i="1"/>
  <c r="J50" i="1"/>
  <c r="B38" i="1" s="1"/>
  <c r="J27" i="1" s="1"/>
  <c r="B26" i="1"/>
  <c r="B27" i="1" s="1"/>
  <c r="D27" i="1" s="1"/>
  <c r="P95" i="1" l="1"/>
  <c r="Q95" i="1"/>
  <c r="N97" i="1"/>
  <c r="O96" i="1"/>
  <c r="P77" i="1"/>
  <c r="S78" i="1"/>
  <c r="R77" i="1"/>
  <c r="M79" i="1"/>
  <c r="O78" i="1"/>
  <c r="Q78" i="1" s="1"/>
  <c r="B39" i="1"/>
  <c r="G27" i="1" s="1"/>
  <c r="D75" i="1"/>
  <c r="I75" i="1" s="1"/>
  <c r="D62" i="1"/>
  <c r="J62" i="1" s="1"/>
  <c r="B40" i="1" s="1"/>
  <c r="J54" i="1"/>
  <c r="B36" i="1" s="1"/>
  <c r="L54" i="1"/>
  <c r="D39" i="1" s="1"/>
  <c r="O54" i="1" s="1"/>
  <c r="B24" i="1"/>
  <c r="J26" i="1" s="1"/>
  <c r="D33" i="1"/>
  <c r="D32" i="1"/>
  <c r="P58" i="1"/>
  <c r="P57" i="1"/>
  <c r="R57" i="1" s="1"/>
  <c r="I67" i="1"/>
  <c r="H67" i="1"/>
  <c r="D69" i="1"/>
  <c r="H40" i="1"/>
  <c r="D40" i="1"/>
  <c r="D71" i="1" l="1"/>
  <c r="H71" i="1" s="1"/>
  <c r="R58" i="1"/>
  <c r="T63" i="1"/>
  <c r="B25" i="1"/>
  <c r="D26" i="1" s="1"/>
  <c r="Q96" i="1"/>
  <c r="P96" i="1"/>
  <c r="O97" i="1"/>
  <c r="N98" i="1"/>
  <c r="P78" i="1"/>
  <c r="S79" i="1"/>
  <c r="R78" i="1"/>
  <c r="M80" i="1"/>
  <c r="O79" i="1"/>
  <c r="Q79" i="1" s="1"/>
  <c r="D74" i="1"/>
  <c r="H74" i="1" s="1"/>
  <c r="B37" i="1"/>
  <c r="G26" i="1" s="1"/>
  <c r="D76" i="1"/>
  <c r="B41" i="1"/>
  <c r="G28" i="1" s="1"/>
  <c r="H75" i="1"/>
  <c r="B28" i="1"/>
  <c r="B29" i="1" s="1"/>
  <c r="D28" i="1" s="1"/>
  <c r="L61" i="1"/>
  <c r="D41" i="1" s="1"/>
  <c r="O61" i="1" s="1"/>
  <c r="H39" i="1"/>
  <c r="P54" i="1" s="1"/>
  <c r="D70" i="1"/>
  <c r="I70" i="1" s="1"/>
  <c r="P59" i="1"/>
  <c r="H69" i="1"/>
  <c r="I69" i="1"/>
  <c r="R59" i="1" l="1"/>
  <c r="I71" i="1"/>
  <c r="J74" i="1"/>
  <c r="U63" i="1"/>
  <c r="V63" i="1"/>
  <c r="T64" i="1"/>
  <c r="O98" i="1"/>
  <c r="N99" i="1"/>
  <c r="Q97" i="1"/>
  <c r="P97" i="1"/>
  <c r="P79" i="1"/>
  <c r="S80" i="1"/>
  <c r="R79" i="1"/>
  <c r="M81" i="1"/>
  <c r="O80" i="1"/>
  <c r="Q80" i="1" s="1"/>
  <c r="I74" i="1"/>
  <c r="I76" i="1"/>
  <c r="H76" i="1"/>
  <c r="H41" i="1"/>
  <c r="P61" i="1" s="1"/>
  <c r="H70" i="1"/>
  <c r="X63" i="1" l="1"/>
  <c r="W63" i="1"/>
  <c r="T65" i="1"/>
  <c r="U64" i="1"/>
  <c r="V64" i="1" s="1"/>
  <c r="O99" i="1"/>
  <c r="P98" i="1"/>
  <c r="Q98" i="1"/>
  <c r="P80" i="1"/>
  <c r="S81" i="1"/>
  <c r="S82" i="1" s="1"/>
  <c r="R80" i="1"/>
  <c r="O81" i="1"/>
  <c r="P81" i="1" s="1"/>
  <c r="W64" i="1" l="1"/>
  <c r="X64" i="1"/>
  <c r="T66" i="1"/>
  <c r="U65" i="1"/>
  <c r="V65" i="1" s="1"/>
  <c r="S83" i="1"/>
  <c r="R82" i="1"/>
  <c r="Q99" i="1"/>
  <c r="P99" i="1"/>
  <c r="Q81" i="1"/>
  <c r="R81" i="1" s="1"/>
  <c r="W65" i="1" l="1"/>
  <c r="X65" i="1"/>
  <c r="T67" i="1"/>
  <c r="U66" i="1"/>
  <c r="V66" i="1" s="1"/>
  <c r="S84" i="1"/>
  <c r="R83" i="1"/>
  <c r="W66" i="1" l="1"/>
  <c r="X66" i="1"/>
  <c r="T68" i="1"/>
  <c r="U67" i="1"/>
  <c r="V67" i="1"/>
  <c r="S85" i="1"/>
  <c r="R84" i="1"/>
  <c r="W67" i="1" l="1"/>
  <c r="X67" i="1"/>
  <c r="T69" i="1"/>
  <c r="U68" i="1"/>
  <c r="V68" i="1" s="1"/>
  <c r="S86" i="1"/>
  <c r="R85" i="1"/>
  <c r="X68" i="1" l="1"/>
  <c r="W68" i="1"/>
  <c r="T70" i="1"/>
  <c r="U69" i="1"/>
  <c r="V69" i="1" s="1"/>
  <c r="S87" i="1"/>
  <c r="R86" i="1"/>
  <c r="X69" i="1" l="1"/>
  <c r="W69" i="1"/>
  <c r="T71" i="1"/>
  <c r="U70" i="1"/>
  <c r="V70" i="1" s="1"/>
  <c r="S88" i="1"/>
  <c r="R87" i="1"/>
  <c r="X70" i="1" l="1"/>
  <c r="W70" i="1"/>
  <c r="T72" i="1"/>
  <c r="U71" i="1"/>
  <c r="V71" i="1" s="1"/>
  <c r="S89" i="1"/>
  <c r="R88" i="1"/>
  <c r="X71" i="1" l="1"/>
  <c r="W71" i="1"/>
  <c r="T73" i="1"/>
  <c r="U72" i="1"/>
  <c r="V72" i="1" s="1"/>
  <c r="S90" i="1"/>
  <c r="R89" i="1"/>
  <c r="W72" i="1" l="1"/>
  <c r="X72" i="1"/>
  <c r="T74" i="1"/>
  <c r="U73" i="1"/>
  <c r="V73" i="1" s="1"/>
  <c r="S91" i="1"/>
  <c r="R90" i="1"/>
  <c r="X73" i="1" l="1"/>
  <c r="W73" i="1"/>
  <c r="T75" i="1"/>
  <c r="U74" i="1"/>
  <c r="V74" i="1" s="1"/>
  <c r="S92" i="1"/>
  <c r="R91" i="1"/>
  <c r="W74" i="1" l="1"/>
  <c r="X74" i="1"/>
  <c r="T76" i="1"/>
  <c r="U75" i="1"/>
  <c r="V75" i="1" s="1"/>
  <c r="S93" i="1"/>
  <c r="R92" i="1"/>
  <c r="W75" i="1" l="1"/>
  <c r="X75" i="1"/>
  <c r="T77" i="1"/>
  <c r="U76" i="1"/>
  <c r="V76" i="1" s="1"/>
  <c r="S94" i="1"/>
  <c r="R93" i="1"/>
  <c r="X76" i="1" l="1"/>
  <c r="W76" i="1"/>
  <c r="T78" i="1"/>
  <c r="U77" i="1"/>
  <c r="V77" i="1" s="1"/>
  <c r="S95" i="1"/>
  <c r="R94" i="1"/>
  <c r="X77" i="1" l="1"/>
  <c r="W77" i="1"/>
  <c r="T79" i="1"/>
  <c r="U78" i="1"/>
  <c r="V78" i="1" s="1"/>
  <c r="S96" i="1"/>
  <c r="R95" i="1"/>
  <c r="X78" i="1" l="1"/>
  <c r="W78" i="1"/>
  <c r="T80" i="1"/>
  <c r="U79" i="1"/>
  <c r="V79" i="1" s="1"/>
  <c r="S97" i="1"/>
  <c r="R96" i="1"/>
  <c r="X79" i="1" l="1"/>
  <c r="W79" i="1"/>
  <c r="T81" i="1"/>
  <c r="U80" i="1"/>
  <c r="V80" i="1" s="1"/>
  <c r="S98" i="1"/>
  <c r="R97" i="1"/>
  <c r="W80" i="1" l="1"/>
  <c r="X80" i="1"/>
  <c r="T82" i="1"/>
  <c r="U81" i="1"/>
  <c r="V81" i="1" s="1"/>
  <c r="S99" i="1"/>
  <c r="R99" i="1" s="1"/>
  <c r="R98" i="1"/>
  <c r="W81" i="1" l="1"/>
  <c r="X81" i="1"/>
  <c r="T83" i="1"/>
  <c r="U82" i="1"/>
  <c r="V82" i="1" s="1"/>
  <c r="W82" i="1" l="1"/>
  <c r="X82" i="1"/>
  <c r="T84" i="1"/>
  <c r="U83" i="1"/>
  <c r="V83" i="1" s="1"/>
  <c r="W83" i="1" l="1"/>
  <c r="X83" i="1"/>
  <c r="T85" i="1"/>
  <c r="U84" i="1"/>
  <c r="V84" i="1" s="1"/>
  <c r="X84" i="1" l="1"/>
  <c r="W84" i="1"/>
  <c r="T86" i="1"/>
  <c r="U85" i="1"/>
  <c r="V85" i="1" s="1"/>
  <c r="X85" i="1" l="1"/>
  <c r="W85" i="1"/>
  <c r="T87" i="1"/>
  <c r="U86" i="1"/>
  <c r="V86" i="1" s="1"/>
  <c r="X86" i="1" l="1"/>
  <c r="W86" i="1"/>
  <c r="T88" i="1"/>
  <c r="U87" i="1"/>
  <c r="V87" i="1" s="1"/>
  <c r="X87" i="1" l="1"/>
  <c r="W87" i="1"/>
  <c r="T89" i="1"/>
  <c r="U88" i="1"/>
  <c r="V88" i="1" s="1"/>
  <c r="W88" i="1" l="1"/>
  <c r="X88" i="1"/>
  <c r="T90" i="1"/>
  <c r="U89" i="1"/>
  <c r="V89" i="1" s="1"/>
  <c r="W89" i="1" l="1"/>
  <c r="X89" i="1"/>
  <c r="T91" i="1"/>
  <c r="U90" i="1"/>
  <c r="V90" i="1" s="1"/>
  <c r="W90" i="1" l="1"/>
  <c r="X90" i="1"/>
  <c r="T92" i="1"/>
  <c r="U91" i="1"/>
  <c r="V91" i="1" s="1"/>
  <c r="W91" i="1" l="1"/>
  <c r="X91" i="1"/>
  <c r="T93" i="1"/>
  <c r="U92" i="1"/>
  <c r="V92" i="1" s="1"/>
  <c r="X92" i="1" l="1"/>
  <c r="W92" i="1"/>
  <c r="T94" i="1"/>
  <c r="U93" i="1"/>
  <c r="V93" i="1" s="1"/>
  <c r="X93" i="1" l="1"/>
  <c r="W93" i="1"/>
  <c r="T95" i="1"/>
  <c r="U94" i="1"/>
  <c r="V94" i="1" s="1"/>
  <c r="X94" i="1" l="1"/>
  <c r="W94" i="1"/>
  <c r="T96" i="1"/>
  <c r="U95" i="1"/>
  <c r="V95" i="1" s="1"/>
  <c r="X95" i="1" l="1"/>
  <c r="W95" i="1"/>
  <c r="T97" i="1"/>
  <c r="U96" i="1"/>
  <c r="V96" i="1" s="1"/>
  <c r="X96" i="1" l="1"/>
  <c r="W96" i="1"/>
  <c r="T98" i="1"/>
  <c r="U97" i="1"/>
  <c r="V97" i="1" s="1"/>
  <c r="W97" i="1" l="1"/>
  <c r="X97" i="1"/>
  <c r="T99" i="1"/>
  <c r="U98" i="1"/>
  <c r="V98" i="1" s="1"/>
  <c r="W98" i="1" l="1"/>
  <c r="X98" i="1"/>
  <c r="U99" i="1"/>
  <c r="V99" i="1" s="1"/>
  <c r="W99" i="1" l="1"/>
  <c r="X9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<sst xmlns="http://schemas.openxmlformats.org/spreadsheetml/2006/main" count="104" uniqueCount="80">
  <si>
    <t>W</t>
  </si>
  <si>
    <t>λ =</t>
  </si>
  <si>
    <t>X =</t>
  </si>
  <si>
    <t>°</t>
  </si>
  <si>
    <t>V</t>
  </si>
  <si>
    <t>rad</t>
  </si>
  <si>
    <t>ϕu12 =</t>
  </si>
  <si>
    <t>Ig =</t>
  </si>
  <si>
    <t>ϕIg =</t>
  </si>
  <si>
    <t>Ig*sinϕIg =</t>
  </si>
  <si>
    <t>QX =</t>
  </si>
  <si>
    <t>Ug-U12*cos(ϕu12) =</t>
  </si>
  <si>
    <t>U12*sin(ϕu12) =</t>
  </si>
  <si>
    <t>U12*cos(ϕu12) =</t>
  </si>
  <si>
    <t>λ*I2 = U12 =</t>
  </si>
  <si>
    <t>(X*Pg)/(Ug*U12) =</t>
  </si>
  <si>
    <t>Pas1f =</t>
  </si>
  <si>
    <t>Pg1f =</t>
  </si>
  <si>
    <t>real</t>
  </si>
  <si>
    <t>imag</t>
  </si>
  <si>
    <t xml:space="preserve"> V/A</t>
  </si>
  <si>
    <t xml:space="preserve"> Ω</t>
  </si>
  <si>
    <t xml:space="preserve"> V</t>
  </si>
  <si>
    <t xml:space="preserve"> A</t>
  </si>
  <si>
    <t xml:space="preserve"> W</t>
  </si>
  <si>
    <t xml:space="preserve"> VAR</t>
  </si>
  <si>
    <t>im</t>
  </si>
  <si>
    <t>jX</t>
  </si>
  <si>
    <t>Pg3f</t>
  </si>
  <si>
    <t>Qg3f</t>
  </si>
  <si>
    <r>
      <t>QU</t>
    </r>
    <r>
      <rPr>
        <sz val="9"/>
        <color theme="1"/>
        <rFont val="Calibri"/>
        <family val="2"/>
        <scheme val="minor"/>
      </rPr>
      <t>12</t>
    </r>
    <r>
      <rPr>
        <sz val="11"/>
        <color theme="1"/>
        <rFont val="Calibri"/>
        <family val="2"/>
        <scheme val="minor"/>
      </rPr>
      <t xml:space="preserve"> =</t>
    </r>
  </si>
  <si>
    <t>Ug3f =</t>
  </si>
  <si>
    <t xml:space="preserve"> kW</t>
  </si>
  <si>
    <t>Capacity curve Synchronous generator</t>
  </si>
  <si>
    <t xml:space="preserve"> kVAR</t>
  </si>
  <si>
    <r>
      <rPr>
        <u/>
        <sz val="11"/>
        <color theme="0"/>
        <rFont val="Calibri"/>
        <family val="2"/>
        <scheme val="minor"/>
      </rPr>
      <t>I</t>
    </r>
    <r>
      <rPr>
        <sz val="11"/>
        <color theme="0"/>
        <rFont val="Calibri"/>
        <family val="2"/>
        <scheme val="minor"/>
      </rPr>
      <t>g =</t>
    </r>
  </si>
  <si>
    <t>&gt; 0</t>
  </si>
  <si>
    <t xml:space="preserve"> kVA</t>
  </si>
  <si>
    <t>fill in red values:</t>
  </si>
  <si>
    <t>Version February 9 2021</t>
  </si>
  <si>
    <t>HAN University of Applied Sciences, Arnhem, the Netherlands</t>
  </si>
  <si>
    <t>© Amperes.nl      email:  info@amperes.nl</t>
  </si>
  <si>
    <t>For private use only and not for commercial settings</t>
  </si>
  <si>
    <t>Ug =</t>
  </si>
  <si>
    <t>Ug normaal</t>
  </si>
  <si>
    <t>U12 normaal</t>
  </si>
  <si>
    <t>I1 normaal</t>
  </si>
  <si>
    <t>Ig</t>
  </si>
  <si>
    <t>Results:</t>
  </si>
  <si>
    <t>Igmax</t>
  </si>
  <si>
    <t>degr</t>
  </si>
  <si>
    <t>cos</t>
  </si>
  <si>
    <t>sin</t>
  </si>
  <si>
    <t>if</t>
  </si>
  <si>
    <t>ymax</t>
  </si>
  <si>
    <t>kW</t>
  </si>
  <si>
    <t>P maximum machine =</t>
  </si>
  <si>
    <t>pfiU12</t>
  </si>
  <si>
    <r>
      <rPr>
        <u/>
        <sz val="11"/>
        <color theme="0"/>
        <rFont val="Calibri"/>
        <family val="2"/>
        <scheme val="minor"/>
      </rPr>
      <t>U</t>
    </r>
    <r>
      <rPr>
        <sz val="11"/>
        <color theme="0"/>
        <rFont val="Calibri"/>
        <family val="2"/>
        <scheme val="minor"/>
      </rPr>
      <t>g verschoven</t>
    </r>
  </si>
  <si>
    <r>
      <rPr>
        <u/>
        <sz val="11"/>
        <color theme="0"/>
        <rFont val="Calibri"/>
        <family val="2"/>
        <scheme val="minor"/>
      </rPr>
      <t>U</t>
    </r>
    <r>
      <rPr>
        <sz val="11"/>
        <color theme="0"/>
        <rFont val="Calibri"/>
        <family val="2"/>
        <scheme val="minor"/>
      </rPr>
      <t>x</t>
    </r>
  </si>
  <si>
    <r>
      <rPr>
        <u/>
        <sz val="11"/>
        <color theme="0"/>
        <rFont val="Calibri"/>
        <family val="2"/>
        <scheme val="minor"/>
      </rPr>
      <t>U</t>
    </r>
    <r>
      <rPr>
        <sz val="11"/>
        <color theme="0"/>
        <rFont val="Calibri"/>
        <family val="2"/>
        <scheme val="minor"/>
      </rPr>
      <t>12 verschoven</t>
    </r>
  </si>
  <si>
    <t>Ug1f =</t>
  </si>
  <si>
    <t>ϕugrid =</t>
  </si>
  <si>
    <t>Pshaft from prime mover =</t>
  </si>
  <si>
    <r>
      <t>&lt; 70</t>
    </r>
    <r>
      <rPr>
        <b/>
        <sz val="14"/>
        <color theme="1"/>
        <rFont val="Calibri"/>
        <family val="2"/>
      </rPr>
      <t>°</t>
    </r>
  </si>
  <si>
    <r>
      <rPr>
        <b/>
        <u/>
        <sz val="14"/>
        <color rgb="FFFFC000"/>
        <rFont val="Calibri"/>
        <family val="2"/>
        <scheme val="minor"/>
      </rPr>
      <t>U</t>
    </r>
    <r>
      <rPr>
        <b/>
        <sz val="10"/>
        <color rgb="FFFFC000"/>
        <rFont val="Calibri"/>
        <family val="2"/>
        <scheme val="minor"/>
      </rPr>
      <t>12</t>
    </r>
    <r>
      <rPr>
        <b/>
        <sz val="14"/>
        <color rgb="FFFFC000"/>
        <rFont val="Calibri"/>
        <family val="2"/>
        <scheme val="minor"/>
      </rPr>
      <t xml:space="preserve"> =</t>
    </r>
  </si>
  <si>
    <r>
      <rPr>
        <b/>
        <u/>
        <sz val="14"/>
        <color theme="1"/>
        <rFont val="Calibri"/>
        <family val="2"/>
        <scheme val="minor"/>
      </rPr>
      <t>I</t>
    </r>
    <r>
      <rPr>
        <b/>
        <sz val="10"/>
        <color theme="1"/>
        <rFont val="Calibri"/>
        <family val="2"/>
        <scheme val="minor"/>
      </rPr>
      <t>1</t>
    </r>
    <r>
      <rPr>
        <b/>
        <sz val="14"/>
        <color theme="1"/>
        <rFont val="Calibri"/>
        <family val="2"/>
        <scheme val="minor"/>
      </rPr>
      <t xml:space="preserve"> =</t>
    </r>
  </si>
  <si>
    <r>
      <rPr>
        <b/>
        <u/>
        <sz val="14"/>
        <color rgb="FF00B0F0"/>
        <rFont val="Calibri"/>
        <family val="2"/>
        <scheme val="minor"/>
      </rPr>
      <t>I</t>
    </r>
    <r>
      <rPr>
        <b/>
        <sz val="10"/>
        <color rgb="FF00B0F0"/>
        <rFont val="Calibri"/>
        <family val="2"/>
        <scheme val="minor"/>
      </rPr>
      <t>g</t>
    </r>
    <r>
      <rPr>
        <b/>
        <sz val="14"/>
        <color rgb="FF00B0F0"/>
        <rFont val="Calibri"/>
        <family val="2"/>
        <scheme val="minor"/>
      </rPr>
      <t xml:space="preserve"> =</t>
    </r>
  </si>
  <si>
    <t>Bram Steennis    Version February 23 2021</t>
  </si>
  <si>
    <r>
      <t>P</t>
    </r>
    <r>
      <rPr>
        <b/>
        <sz val="11"/>
        <color rgb="FFC00000"/>
        <rFont val="Calibri"/>
        <family val="2"/>
        <scheme val="minor"/>
      </rPr>
      <t>g3phase</t>
    </r>
    <r>
      <rPr>
        <b/>
        <sz val="16"/>
        <color rgb="FFC00000"/>
        <rFont val="Calibri"/>
        <family val="2"/>
        <scheme val="minor"/>
      </rPr>
      <t xml:space="preserve"> =</t>
    </r>
  </si>
  <si>
    <r>
      <t>Q</t>
    </r>
    <r>
      <rPr>
        <b/>
        <sz val="11"/>
        <color rgb="FFC00000"/>
        <rFont val="Calibri"/>
        <family val="2"/>
        <scheme val="minor"/>
      </rPr>
      <t>g3phase</t>
    </r>
    <r>
      <rPr>
        <b/>
        <sz val="16"/>
        <color rgb="FFC00000"/>
        <rFont val="Calibri"/>
        <family val="2"/>
        <scheme val="minor"/>
      </rPr>
      <t xml:space="preserve"> =</t>
    </r>
  </si>
  <si>
    <r>
      <t>S</t>
    </r>
    <r>
      <rPr>
        <b/>
        <sz val="11"/>
        <color rgb="FFC00000"/>
        <rFont val="Calibri"/>
        <family val="2"/>
        <scheme val="minor"/>
      </rPr>
      <t>g3phase</t>
    </r>
    <r>
      <rPr>
        <b/>
        <sz val="16"/>
        <color rgb="FFC00000"/>
        <rFont val="Calibri"/>
        <family val="2"/>
        <scheme val="minor"/>
      </rPr>
      <t xml:space="preserve"> =</t>
    </r>
  </si>
  <si>
    <t>5 A &lt; I2 &lt; 52,3 A</t>
  </si>
  <si>
    <r>
      <t>Excitation DC current I</t>
    </r>
    <r>
      <rPr>
        <b/>
        <sz val="11"/>
        <color theme="1"/>
        <rFont val="Calibri"/>
        <family val="2"/>
      </rPr>
      <t>2</t>
    </r>
    <r>
      <rPr>
        <b/>
        <sz val="14"/>
        <color theme="1"/>
        <rFont val="Calibri"/>
        <family val="2"/>
      </rPr>
      <t xml:space="preserve"> =</t>
    </r>
  </si>
  <si>
    <r>
      <t>factor to zoom in for I</t>
    </r>
    <r>
      <rPr>
        <b/>
        <sz val="11"/>
        <color theme="1"/>
        <rFont val="Calibri"/>
        <family val="2"/>
      </rPr>
      <t>g</t>
    </r>
    <r>
      <rPr>
        <b/>
        <sz val="14"/>
        <color theme="1"/>
        <rFont val="Calibri"/>
        <family val="2"/>
      </rPr>
      <t xml:space="preserve"> en I</t>
    </r>
    <r>
      <rPr>
        <b/>
        <sz val="11"/>
        <color theme="1"/>
        <rFont val="Calibri"/>
        <family val="2"/>
      </rPr>
      <t>1</t>
    </r>
    <r>
      <rPr>
        <b/>
        <sz val="14"/>
        <color theme="1"/>
        <rFont val="Calibri"/>
        <family val="2"/>
      </rPr>
      <t xml:space="preserve"> =</t>
    </r>
  </si>
  <si>
    <t>A</t>
  </si>
  <si>
    <t>Ð</t>
  </si>
  <si>
    <r>
      <rPr>
        <b/>
        <u/>
        <sz val="14"/>
        <color rgb="FF00B050"/>
        <rFont val="Calibri"/>
        <family val="2"/>
        <scheme val="minor"/>
      </rPr>
      <t>U</t>
    </r>
    <r>
      <rPr>
        <b/>
        <sz val="10"/>
        <color rgb="FF00B050"/>
        <rFont val="Calibri"/>
        <family val="2"/>
        <scheme val="minor"/>
      </rPr>
      <t>g</t>
    </r>
    <r>
      <rPr>
        <b/>
        <sz val="14"/>
        <color rgb="FF00B050"/>
        <rFont val="Calibri"/>
        <family val="2"/>
        <scheme val="minor"/>
      </rPr>
      <t xml:space="preserve"> =</t>
    </r>
  </si>
  <si>
    <t>load angle:</t>
  </si>
  <si>
    <r>
      <t>S</t>
    </r>
    <r>
      <rPr>
        <b/>
        <sz val="8"/>
        <color theme="1"/>
        <rFont val="Calibri"/>
        <family val="2"/>
      </rPr>
      <t>3f</t>
    </r>
    <r>
      <rPr>
        <b/>
        <sz val="14"/>
        <color theme="1"/>
        <rFont val="Calibri"/>
        <family val="2"/>
      </rPr>
      <t xml:space="preserve"> = 900 kVA with U</t>
    </r>
    <r>
      <rPr>
        <b/>
        <sz val="8"/>
        <color theme="1"/>
        <rFont val="Calibri"/>
        <family val="2"/>
      </rPr>
      <t>line</t>
    </r>
    <r>
      <rPr>
        <b/>
        <sz val="14"/>
        <color theme="1"/>
        <rFont val="Calibri"/>
        <family val="2"/>
      </rPr>
      <t xml:space="preserve"> = 10 kV, </t>
    </r>
    <r>
      <rPr>
        <b/>
        <sz val="14"/>
        <color theme="1"/>
        <rFont val="Aptos Narrow"/>
        <family val="2"/>
      </rPr>
      <t>λ</t>
    </r>
    <r>
      <rPr>
        <b/>
        <sz val="10.5"/>
        <color theme="1"/>
        <rFont val="Calibri"/>
        <family val="2"/>
      </rPr>
      <t xml:space="preserve"> =  210, </t>
    </r>
    <r>
      <rPr>
        <b/>
        <sz val="14"/>
        <color theme="1"/>
        <rFont val="Calibri"/>
        <family val="2"/>
      </rPr>
      <t>X</t>
    </r>
    <r>
      <rPr>
        <b/>
        <sz val="8"/>
        <color theme="1"/>
        <rFont val="Calibri"/>
        <family val="2"/>
      </rPr>
      <t>1</t>
    </r>
    <r>
      <rPr>
        <b/>
        <sz val="14"/>
        <color theme="1"/>
        <rFont val="Calibri"/>
        <family val="2"/>
      </rPr>
      <t xml:space="preserve"> = 100 Ω at 50 Hz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</si>
</sst>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4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rgb="FFC00000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0"/>
      <name val="Calibri"/>
      <family val="2"/>
    </font>
    <font>
      <b/>
      <sz val="14"/>
      <color rgb="FFFF0000"/>
      <name val="Calibri"/>
      <family val="2"/>
    </font>
    <font>
      <b/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b/>
      <u/>
      <sz val="14"/>
      <color rgb="FF00B0F0"/>
      <name val="Calibri"/>
      <family val="2"/>
      <scheme val="minor"/>
    </font>
    <font>
      <b/>
      <sz val="14"/>
      <color rgb="FFFFC000"/>
      <name val="Calibri"/>
      <family val="2"/>
      <scheme val="minor"/>
    </font>
    <font>
      <b/>
      <u/>
      <sz val="14"/>
      <color rgb="FFFFC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0"/>
      <color rgb="FFFFC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8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rgb="FF00B0F0"/>
      <name val="Symbol"/>
      <family val="1"/>
      <charset val="2"/>
    </font>
    <font>
      <b/>
      <sz val="14"/>
      <color rgb="FF00B0F0"/>
      <name val="Calibri"/>
      <family val="2"/>
    </font>
    <font>
      <b/>
      <sz val="14"/>
      <color rgb="FFFFC000"/>
      <name val="Symbol"/>
      <family val="1"/>
      <charset val="2"/>
    </font>
    <font>
      <b/>
      <sz val="14"/>
      <color rgb="FFFFC000"/>
      <name val="Calibri"/>
      <family val="2"/>
    </font>
    <font>
      <b/>
      <sz val="14"/>
      <color theme="1"/>
      <name val="Symbol"/>
      <family val="1"/>
      <charset val="2"/>
    </font>
    <font>
      <b/>
      <sz val="14"/>
      <color rgb="FF00B050"/>
      <name val="Calibri"/>
      <family val="2"/>
      <scheme val="minor"/>
    </font>
    <font>
      <b/>
      <u/>
      <sz val="14"/>
      <color rgb="FF00B05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4"/>
      <color rgb="FF00B050"/>
      <name val="Symbol"/>
      <family val="1"/>
      <charset val="2"/>
    </font>
    <font>
      <b/>
      <sz val="14"/>
      <color rgb="FF00B050"/>
      <name val="Calibri"/>
      <family val="2"/>
    </font>
    <font>
      <b/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1"/>
      <name val="Aptos Narrow"/>
      <family val="2"/>
    </font>
    <font>
      <b/>
      <sz val="10.5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right"/>
    </xf>
    <xf numFmtId="164" fontId="0" fillId="0" borderId="0" xfId="0" applyNumberFormat="1"/>
    <xf numFmtId="0" fontId="4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6" fillId="0" borderId="0" xfId="0" applyFont="1"/>
    <xf numFmtId="0" fontId="8" fillId="0" borderId="0" xfId="0" applyFont="1"/>
    <xf numFmtId="0" fontId="9" fillId="0" borderId="0" xfId="0" applyFont="1"/>
    <xf numFmtId="1" fontId="2" fillId="0" borderId="0" xfId="0" applyNumberFormat="1" applyFont="1"/>
    <xf numFmtId="0" fontId="5" fillId="0" borderId="0" xfId="0" applyFont="1"/>
    <xf numFmtId="164" fontId="2" fillId="0" borderId="0" xfId="0" applyNumberFormat="1" applyFont="1"/>
    <xf numFmtId="1" fontId="2" fillId="0" borderId="0" xfId="0" applyNumberFormat="1" applyFont="1" applyAlignment="1">
      <alignment horizontal="center"/>
    </xf>
    <xf numFmtId="165" fontId="1" fillId="0" borderId="0" xfId="0" applyNumberFormat="1" applyFont="1"/>
    <xf numFmtId="0" fontId="2" fillId="2" borderId="0" xfId="0" applyFont="1" applyFill="1"/>
    <xf numFmtId="165" fontId="2" fillId="0" borderId="0" xfId="0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right"/>
    </xf>
    <xf numFmtId="165" fontId="12" fillId="0" borderId="0" xfId="0" applyNumberFormat="1" applyFont="1"/>
    <xf numFmtId="0" fontId="14" fillId="0" borderId="0" xfId="0" applyFont="1"/>
    <xf numFmtId="3" fontId="14" fillId="0" borderId="0" xfId="0" applyNumberFormat="1" applyFont="1"/>
    <xf numFmtId="0" fontId="11" fillId="0" borderId="0" xfId="0" applyFont="1" applyAlignment="1">
      <alignment horizontal="right"/>
    </xf>
    <xf numFmtId="1" fontId="14" fillId="0" borderId="0" xfId="0" applyNumberFormat="1" applyFont="1"/>
    <xf numFmtId="0" fontId="15" fillId="0" borderId="0" xfId="0" applyFont="1"/>
    <xf numFmtId="0" fontId="16" fillId="0" borderId="0" xfId="0" applyFont="1"/>
    <xf numFmtId="0" fontId="11" fillId="0" borderId="0" xfId="0" applyFont="1" applyAlignment="1">
      <alignment horizontal="left"/>
    </xf>
    <xf numFmtId="0" fontId="12" fillId="2" borderId="0" xfId="0" applyFont="1" applyFill="1"/>
    <xf numFmtId="0" fontId="11" fillId="2" borderId="0" xfId="0" applyFont="1" applyFill="1"/>
    <xf numFmtId="0" fontId="18" fillId="0" borderId="0" xfId="0" applyFont="1"/>
    <xf numFmtId="164" fontId="15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12" xfId="0" applyFont="1" applyBorder="1"/>
    <xf numFmtId="164" fontId="15" fillId="0" borderId="0" xfId="0" applyNumberFormat="1" applyFont="1"/>
    <xf numFmtId="0" fontId="12" fillId="0" borderId="9" xfId="0" applyFont="1" applyBorder="1"/>
    <xf numFmtId="1" fontId="15" fillId="0" borderId="0" xfId="0" applyNumberFormat="1" applyFont="1" applyAlignment="1">
      <alignment horizontal="center"/>
    </xf>
    <xf numFmtId="2" fontId="19" fillId="0" borderId="4" xfId="0" applyNumberFormat="1" applyFont="1" applyBorder="1" applyAlignment="1">
      <alignment horizontal="right"/>
    </xf>
    <xf numFmtId="0" fontId="12" fillId="0" borderId="10" xfId="0" applyFont="1" applyBorder="1"/>
    <xf numFmtId="1" fontId="15" fillId="0" borderId="0" xfId="0" applyNumberFormat="1" applyFont="1"/>
    <xf numFmtId="2" fontId="21" fillId="0" borderId="4" xfId="0" applyNumberFormat="1" applyFont="1" applyBorder="1" applyAlignment="1">
      <alignment horizontal="right"/>
    </xf>
    <xf numFmtId="2" fontId="12" fillId="0" borderId="6" xfId="0" applyNumberFormat="1" applyFont="1" applyBorder="1" applyAlignment="1">
      <alignment horizontal="right"/>
    </xf>
    <xf numFmtId="0" fontId="12" fillId="0" borderId="11" xfId="0" applyFont="1" applyBorder="1"/>
    <xf numFmtId="3" fontId="25" fillId="0" borderId="2" xfId="0" applyNumberFormat="1" applyFont="1" applyBorder="1"/>
    <xf numFmtId="0" fontId="25" fillId="0" borderId="3" xfId="0" applyFont="1" applyBorder="1"/>
    <xf numFmtId="3" fontId="25" fillId="0" borderId="7" xfId="0" applyNumberFormat="1" applyFont="1" applyBorder="1"/>
    <xf numFmtId="0" fontId="25" fillId="0" borderId="8" xfId="0" applyFont="1" applyBorder="1"/>
    <xf numFmtId="0" fontId="25" fillId="0" borderId="0" xfId="0" applyFont="1" applyAlignment="1">
      <alignment horizontal="right"/>
    </xf>
    <xf numFmtId="3" fontId="25" fillId="0" borderId="0" xfId="0" applyNumberFormat="1" applyFont="1"/>
    <xf numFmtId="0" fontId="0" fillId="0" borderId="1" xfId="0" applyBorder="1"/>
    <xf numFmtId="0" fontId="25" fillId="0" borderId="2" xfId="0" applyFont="1" applyBorder="1" applyAlignment="1">
      <alignment horizontal="right"/>
    </xf>
    <xf numFmtId="0" fontId="0" fillId="0" borderId="4" xfId="0" applyBorder="1"/>
    <xf numFmtId="0" fontId="25" fillId="0" borderId="5" xfId="0" applyFont="1" applyBorder="1"/>
    <xf numFmtId="0" fontId="2" fillId="0" borderId="6" xfId="0" applyFont="1" applyBorder="1"/>
    <xf numFmtId="0" fontId="25" fillId="0" borderId="7" xfId="0" applyFont="1" applyBorder="1" applyAlignment="1">
      <alignment horizontal="right"/>
    </xf>
    <xf numFmtId="0" fontId="19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12" fillId="0" borderId="7" xfId="0" applyFont="1" applyBorder="1" applyAlignment="1">
      <alignment horizontal="left"/>
    </xf>
    <xf numFmtId="164" fontId="19" fillId="0" borderId="0" xfId="0" applyNumberFormat="1" applyFont="1" applyAlignment="1">
      <alignment horizontal="right"/>
    </xf>
    <xf numFmtId="1" fontId="21" fillId="0" borderId="0" xfId="0" applyNumberFormat="1" applyFont="1" applyAlignment="1">
      <alignment horizontal="right"/>
    </xf>
    <xf numFmtId="164" fontId="12" fillId="0" borderId="7" xfId="0" applyNumberFormat="1" applyFont="1" applyBorder="1" applyAlignment="1">
      <alignment horizontal="right"/>
    </xf>
    <xf numFmtId="0" fontId="31" fillId="0" borderId="0" xfId="0" applyFont="1" applyAlignment="1">
      <alignment horizontal="right"/>
    </xf>
    <xf numFmtId="0" fontId="33" fillId="0" borderId="0" xfId="0" applyFont="1" applyAlignment="1">
      <alignment horizontal="right"/>
    </xf>
    <xf numFmtId="0" fontId="35" fillId="0" borderId="7" xfId="0" applyFont="1" applyBorder="1" applyAlignment="1">
      <alignment horizontal="right"/>
    </xf>
    <xf numFmtId="0" fontId="11" fillId="0" borderId="7" xfId="0" applyFont="1" applyBorder="1"/>
    <xf numFmtId="2" fontId="36" fillId="0" borderId="1" xfId="0" applyNumberFormat="1" applyFont="1" applyBorder="1" applyAlignment="1">
      <alignment horizontal="right"/>
    </xf>
    <xf numFmtId="1" fontId="36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39" fillId="0" borderId="2" xfId="0" applyFont="1" applyBorder="1" applyAlignment="1">
      <alignment horizontal="right"/>
    </xf>
    <xf numFmtId="164" fontId="36" fillId="0" borderId="2" xfId="0" applyNumberFormat="1" applyFont="1" applyBorder="1" applyAlignment="1">
      <alignment horizontal="right"/>
    </xf>
    <xf numFmtId="0" fontId="40" fillId="0" borderId="2" xfId="0" applyFont="1" applyBorder="1"/>
    <xf numFmtId="0" fontId="32" fillId="0" borderId="0" xfId="0" applyFont="1"/>
    <xf numFmtId="164" fontId="21" fillId="0" borderId="0" xfId="0" applyNumberFormat="1" applyFont="1" applyAlignment="1">
      <alignment horizontal="right"/>
    </xf>
    <xf numFmtId="0" fontId="34" fillId="0" borderId="0" xfId="0" applyFont="1"/>
    <xf numFmtId="0" fontId="17" fillId="0" borderId="0" xfId="0" applyFont="1" applyAlignment="1">
      <alignment horizontal="right"/>
    </xf>
    <xf numFmtId="0" fontId="41" fillId="0" borderId="0" xfId="0" applyFont="1"/>
    <xf numFmtId="0" fontId="42" fillId="0" borderId="0" xfId="0" applyFont="1"/>
    <xf numFmtId="0" fontId="12" fillId="3" borderId="1" xfId="0" applyFont="1" applyFill="1" applyBorder="1"/>
    <xf numFmtId="0" fontId="11" fillId="3" borderId="2" xfId="0" applyFont="1" applyFill="1" applyBorder="1" applyAlignment="1">
      <alignment horizontal="right"/>
    </xf>
    <xf numFmtId="164" fontId="18" fillId="3" borderId="2" xfId="0" applyNumberFormat="1" applyFont="1" applyFill="1" applyBorder="1" applyProtection="1">
      <protection locked="0"/>
    </xf>
    <xf numFmtId="0" fontId="12" fillId="3" borderId="3" xfId="0" applyFont="1" applyFill="1" applyBorder="1"/>
    <xf numFmtId="0" fontId="12" fillId="3" borderId="2" xfId="0" applyFont="1" applyFill="1" applyBorder="1"/>
    <xf numFmtId="0" fontId="12" fillId="3" borderId="4" xfId="0" applyFont="1" applyFill="1" applyBorder="1"/>
    <xf numFmtId="0" fontId="11" fillId="3" borderId="0" xfId="0" applyFont="1" applyFill="1" applyAlignment="1">
      <alignment horizontal="right"/>
    </xf>
    <xf numFmtId="3" fontId="18" fillId="3" borderId="0" xfId="0" applyNumberFormat="1" applyFont="1" applyFill="1" applyProtection="1">
      <protection locked="0"/>
    </xf>
    <xf numFmtId="0" fontId="12" fillId="3" borderId="5" xfId="0" applyFont="1" applyFill="1" applyBorder="1"/>
    <xf numFmtId="0" fontId="12" fillId="3" borderId="0" xfId="0" applyFont="1" applyFill="1"/>
    <xf numFmtId="0" fontId="12" fillId="3" borderId="0" xfId="0" applyFont="1" applyFill="1" applyProtection="1">
      <protection locked="0"/>
    </xf>
    <xf numFmtId="0" fontId="12" fillId="3" borderId="13" xfId="0" applyFont="1" applyFill="1" applyBorder="1"/>
    <xf numFmtId="0" fontId="11" fillId="3" borderId="14" xfId="0" applyFont="1" applyFill="1" applyBorder="1" applyAlignment="1">
      <alignment horizontal="right"/>
    </xf>
    <xf numFmtId="0" fontId="18" fillId="3" borderId="14" xfId="0" applyFont="1" applyFill="1" applyBorder="1" applyProtection="1">
      <protection locked="0"/>
    </xf>
    <xf numFmtId="0" fontId="12" fillId="3" borderId="15" xfId="0" applyFont="1" applyFill="1" applyBorder="1"/>
    <xf numFmtId="0" fontId="12" fillId="3" borderId="14" xfId="0" applyFont="1" applyFill="1" applyBorder="1"/>
    <xf numFmtId="0" fontId="17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012166485559611E-2"/>
          <c:y val="6.136551206107161E-2"/>
          <c:w val="0.90830361040598873"/>
          <c:h val="0.88063423646922145"/>
        </c:manualLayout>
      </c:layout>
      <c:scatterChart>
        <c:scatterStyle val="smoothMarker"/>
        <c:varyColors val="0"/>
        <c:ser>
          <c:idx val="1"/>
          <c:order val="0"/>
          <c:tx>
            <c:v>Ux</c:v>
          </c:tx>
          <c:spPr>
            <a:ln w="28575" cap="rnd">
              <a:solidFill>
                <a:srgbClr val="00B050"/>
              </a:solidFill>
              <a:round/>
              <a:headEnd type="stealth" w="lg" len="lg"/>
              <a:tailEnd type="oval"/>
            </a:ln>
            <a:effectLst/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8-37B0-4E50-8BCC-50D508333106}"/>
              </c:ext>
            </c:extLst>
          </c:dPt>
          <c:dPt>
            <c:idx val="1"/>
            <c:bubble3D val="0"/>
            <c:spPr>
              <a:ln w="28575" cap="rnd">
                <a:solidFill>
                  <a:srgbClr val="00B0F0"/>
                </a:solidFill>
                <a:round/>
                <a:tailEnd type="stealth" w="lg" len="lg"/>
              </a:ln>
              <a:effectLst/>
            </c:spPr>
            <c:extLst>
              <c:ext xmlns:c16="http://schemas.microsoft.com/office/drawing/2014/chart" uri="{C3380CC4-5D6E-409C-BE32-E72D297353CC}">
                <c16:uniqueId val="{00000007-37B0-4E50-8BCC-50D508333106}"/>
              </c:ext>
            </c:extLst>
          </c:dPt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5.4191518156820905E-2"/>
                  <c:y val="0.1276569037997938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b="1" baseline="0">
                        <a:solidFill>
                          <a:srgbClr val="00B0F0"/>
                        </a:solidFill>
                      </a:rPr>
                      <a:t>Ig</a:t>
                    </a: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</c:trendlineLbl>
          </c:trendline>
          <c:xVal>
            <c:numRef>
              <c:f>(Sheet1!$H$64,Sheet1!$H$67)</c:f>
              <c:numCache>
                <c:formatCode>General</c:formatCode>
                <c:ptCount val="2"/>
                <c:pt idx="0">
                  <c:v>0</c:v>
                </c:pt>
                <c:pt idx="1">
                  <c:v>-1489.9907102334</c:v>
                </c:pt>
              </c:numCache>
            </c:numRef>
          </c:xVal>
          <c:yVal>
            <c:numRef>
              <c:f>(Sheet1!$I$64,Sheet1!$I$67)</c:f>
              <c:numCache>
                <c:formatCode>General</c:formatCode>
                <c:ptCount val="2"/>
                <c:pt idx="0">
                  <c:v>0</c:v>
                </c:pt>
                <c:pt idx="1">
                  <c:v>4613.3333333333303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FA-412E-A54A-376761DA9A72}"/>
            </c:ext>
          </c:extLst>
        </c:ser>
        <c:ser>
          <c:idx val="2"/>
          <c:order val="1"/>
          <c:tx>
            <c:v>U12 verschoven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Pt>
            <c:idx val="0"/>
            <c:bubble3D val="0"/>
            <c:spPr>
              <a:ln w="28575" cap="rnd">
                <a:solidFill>
                  <a:srgbClr val="FFC000"/>
                </a:solidFill>
                <a:round/>
                <a:tailEnd type="stealth" w="lg" len="lg"/>
              </a:ln>
              <a:effectLst/>
            </c:spPr>
            <c:extLst>
              <c:ext xmlns:c16="http://schemas.microsoft.com/office/drawing/2014/chart" uri="{C3380CC4-5D6E-409C-BE32-E72D297353CC}">
                <c16:uniqueId val="{00000007-4BC2-49DF-8296-47E14F3C13DF}"/>
              </c:ext>
            </c:extLst>
          </c:dPt>
          <c:dPt>
            <c:idx val="1"/>
            <c:bubble3D val="0"/>
            <c:spPr>
              <a:ln w="28575" cap="rnd">
                <a:solidFill>
                  <a:srgbClr val="FFC000"/>
                </a:solidFill>
                <a:round/>
                <a:tailEnd type="stealth" w="lg" len="lg"/>
              </a:ln>
              <a:effectLst/>
            </c:spPr>
            <c:extLst>
              <c:ext xmlns:c16="http://schemas.microsoft.com/office/drawing/2014/chart" uri="{C3380CC4-5D6E-409C-BE32-E72D297353CC}">
                <c16:uniqueId val="{00000005-37B0-4E50-8BCC-50D508333106}"/>
              </c:ext>
            </c:extLst>
          </c:dPt>
          <c:dLbls>
            <c:dLbl>
              <c:idx val="1"/>
              <c:layout>
                <c:manualLayout>
                  <c:x val="-7.5625232420896096E-2"/>
                  <c:y val="8.3496262794140352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1">
                        <a:solidFill>
                          <a:srgbClr val="FFC000"/>
                        </a:solidFill>
                      </a:rPr>
                      <a:t>I</a:t>
                    </a:r>
                    <a:r>
                      <a:rPr lang="en-US" sz="1050" b="1">
                        <a:solidFill>
                          <a:srgbClr val="FFC000"/>
                        </a:solidFill>
                      </a:rPr>
                      <a:t>2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4256901182015822E-2"/>
                      <c:h val="5.6339238004980488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5-37B0-4E50-8BCC-50D5083331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</c15:spPr>
                <c15:showLeaderLines val="0"/>
              </c:ext>
            </c:extLst>
          </c:dLbls>
          <c:xVal>
            <c:numRef>
              <c:f>(Sheet1!$H$66,Sheet1!$H$67)</c:f>
              <c:numCache>
                <c:formatCode>General</c:formatCode>
                <c:ptCount val="2"/>
                <c:pt idx="0">
                  <c:v>-5780.3468208092499</c:v>
                </c:pt>
                <c:pt idx="1">
                  <c:v>-1489.9907102334</c:v>
                </c:pt>
              </c:numCache>
            </c:numRef>
          </c:xVal>
          <c:yVal>
            <c:numRef>
              <c:f>(Sheet1!$I$66,Sheet1!$I$67)</c:f>
              <c:numCache>
                <c:formatCode>General</c:formatCode>
                <c:ptCount val="2"/>
                <c:pt idx="0">
                  <c:v>0</c:v>
                </c:pt>
                <c:pt idx="1">
                  <c:v>4613.3333333333303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FA-412E-A54A-376761DA9A72}"/>
            </c:ext>
          </c:extLst>
        </c:ser>
        <c:ser>
          <c:idx val="3"/>
          <c:order val="2"/>
          <c:tx>
            <c:v>Smax</c:v>
          </c:tx>
          <c:spPr>
            <a:ln w="381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8"/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/>
                    </a:pPr>
                    <a:r>
                      <a:rPr lang="en-US"/>
                      <a:t> </a:t>
                    </a:r>
                    <a:r>
                      <a:rPr lang="en-US" sz="1200">
                        <a:solidFill>
                          <a:srgbClr val="C00000"/>
                        </a:solidFill>
                      </a:rPr>
                      <a:t>P max machine</a:t>
                    </a:r>
                    <a:endParaRPr lang="en-US">
                      <a:solidFill>
                        <a:srgbClr val="C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200986995516794"/>
                      <c:h val="4.1469337972844508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E-3291-482C-AD12-3319DB43E1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Sheet1!$P$63:$P$99</c:f>
              <c:numCache>
                <c:formatCode>General</c:formatCode>
                <c:ptCount val="37"/>
                <c:pt idx="0">
                  <c:v>5200</c:v>
                </c:pt>
                <c:pt idx="1">
                  <c:v>5180.2135964910494</c:v>
                </c:pt>
                <c:pt idx="2">
                  <c:v>5121.0049635656678</c:v>
                </c:pt>
                <c:pt idx="3">
                  <c:v>5022.8246881093437</c:v>
                </c:pt>
                <c:pt idx="4">
                  <c:v>4886.4199372554631</c:v>
                </c:pt>
                <c:pt idx="5">
                  <c:v>4712.8287723274607</c:v>
                </c:pt>
                <c:pt idx="6">
                  <c:v>4503.3722490310493</c:v>
                </c:pt>
                <c:pt idx="7">
                  <c:v>4259.6443640152784</c:v>
                </c:pt>
                <c:pt idx="8">
                  <c:v>3983.4999243106477</c:v>
                </c:pt>
                <c:pt idx="9">
                  <c:v>3677.0404319597546</c:v>
                </c:pt>
                <c:pt idx="10">
                  <c:v>3342.5980912605992</c:v>
                </c:pt>
                <c:pt idx="11">
                  <c:v>2982.7180603299335</c:v>
                </c:pt>
                <c:pt idx="12">
                  <c:v>2600.1390820549891</c:v>
                </c:pt>
                <c:pt idx="13">
                  <c:v>2197.7726418350717</c:v>
                </c:pt>
                <c:pt idx="14">
                  <c:v>1778.6808107258159</c:v>
                </c:pt>
                <c:pt idx="15">
                  <c:v>1346.0529426032331</c:v>
                </c:pt>
                <c:pt idx="16">
                  <c:v>903.18140268574439</c:v>
                </c:pt>
                <c:pt idx="17">
                  <c:v>453.43651212390074</c:v>
                </c:pt>
                <c:pt idx="18">
                  <c:v>0.24089933337578048</c:v>
                </c:pt>
                <c:pt idx="19">
                  <c:v>-452.95654673846269</c:v>
                </c:pt>
                <c:pt idx="20">
                  <c:v>-902.70692319269165</c:v>
                </c:pt>
                <c:pt idx="21">
                  <c:v>-1345.5875598651448</c:v>
                </c:pt>
                <c:pt idx="22">
                  <c:v>-1778.2280663775537</c:v>
                </c:pt>
                <c:pt idx="23">
                  <c:v>-2197.3359813313928</c:v>
                </c:pt>
                <c:pt idx="24">
                  <c:v>-2599.7218284500918</c:v>
                </c:pt>
                <c:pt idx="25">
                  <c:v>-2982.3233889885068</c:v>
                </c:pt>
                <c:pt idx="26">
                  <c:v>-3342.2290056928036</c:v>
                </c:pt>
                <c:pt idx="27">
                  <c:v>-3676.6997409640403</c:v>
                </c:pt>
                <c:pt idx="28">
                  <c:v>-3983.190220598367</c:v>
                </c:pt>
                <c:pt idx="29">
                  <c:v>-4259.3680044797475</c:v>
                </c:pt>
                <c:pt idx="30">
                  <c:v>-4503.1313368112224</c:v>
                </c:pt>
                <c:pt idx="31">
                  <c:v>-4712.6251408027183</c:v>
                </c:pt>
                <c:pt idx="32">
                  <c:v>-4886.2551360933121</c:v>
                </c:pt>
                <c:pt idx="33">
                  <c:v>-5022.6999714722051</c:v>
                </c:pt>
                <c:pt idx="34">
                  <c:v>-5120.9212805665047</c:v>
                </c:pt>
                <c:pt idx="35">
                  <c:v>-5180.171583970473</c:v>
                </c:pt>
                <c:pt idx="36">
                  <c:v>-5199.9999776798122</c:v>
                </c:pt>
              </c:numCache>
            </c:numRef>
          </c:xVal>
          <c:yVal>
            <c:numRef>
              <c:f>Sheet1!$R$63:$R$99</c:f>
              <c:numCache>
                <c:formatCode>General</c:formatCode>
                <c:ptCount val="37"/>
                <c:pt idx="0">
                  <c:v>0</c:v>
                </c:pt>
                <c:pt idx="1">
                  <c:v>453.19652991750098</c:v>
                </c:pt>
                <c:pt idx="2">
                  <c:v>902.94416390815434</c:v>
                </c:pt>
                <c:pt idx="3">
                  <c:v>1345.82025267837</c:v>
                </c:pt>
                <c:pt idx="4">
                  <c:v>1778.4544404601193</c:v>
                </c:pt>
                <c:pt idx="5">
                  <c:v>2197.5543139413967</c:v>
                </c:pt>
                <c:pt idx="6">
                  <c:v>2599.9304580424891</c:v>
                </c:pt>
                <c:pt idx="7">
                  <c:v>2982.5207278597209</c:v>
                </c:pt>
                <c:pt idx="8">
                  <c:v>3342.4135520633986</c:v>
                </c:pt>
                <c:pt idx="9">
                  <c:v>3676.8700904074958</c:v>
                </c:pt>
                <c:pt idx="10">
                  <c:v>3983.3450767289796</c:v>
                </c:pt>
                <c:pt idx="11">
                  <c:v>4259.5061888183282</c:v>
                </c:pt>
                <c:pt idx="12">
                  <c:v>4503.2517977535126</c:v>
                </c:pt>
                <c:pt idx="13">
                  <c:v>4712.7269616222511</c:v>
                </c:pt>
                <c:pt idx="14">
                  <c:v>4814</c:v>
                </c:pt>
                <c:pt idx="15">
                  <c:v>4814</c:v>
                </c:pt>
                <c:pt idx="16">
                  <c:v>4814</c:v>
                </c:pt>
                <c:pt idx="17">
                  <c:v>4814</c:v>
                </c:pt>
                <c:pt idx="18">
                  <c:v>4814</c:v>
                </c:pt>
                <c:pt idx="19">
                  <c:v>4814</c:v>
                </c:pt>
                <c:pt idx="20">
                  <c:v>4814</c:v>
                </c:pt>
                <c:pt idx="21">
                  <c:v>4814</c:v>
                </c:pt>
                <c:pt idx="22">
                  <c:v>4814</c:v>
                </c:pt>
                <c:pt idx="23">
                  <c:v>4712.9305729181297</c:v>
                </c:pt>
                <c:pt idx="24">
                  <c:v>4503.4926906435749</c:v>
                </c:pt>
                <c:pt idx="25">
                  <c:v>4259.782530070298</c:v>
                </c:pt>
                <c:pt idx="26">
                  <c:v>3983.65476334304</c:v>
                </c:pt>
                <c:pt idx="27">
                  <c:v>3677.210765620453</c:v>
                </c:pt>
                <c:pt idx="28">
                  <c:v>3342.7826232840107</c:v>
                </c:pt>
                <c:pt idx="29">
                  <c:v>2982.9153863987185</c:v>
                </c:pt>
                <c:pt idx="30">
                  <c:v>2600.3477004871434</c:v>
                </c:pt>
                <c:pt idx="31">
                  <c:v>2197.9909650119489</c:v>
                </c:pt>
                <c:pt idx="32">
                  <c:v>1778.9071771741571</c:v>
                </c:pt>
                <c:pt idx="33">
                  <c:v>1346.285629639234</c:v>
                </c:pt>
                <c:pt idx="34">
                  <c:v>903.41863952495021</c:v>
                </c:pt>
                <c:pt idx="35">
                  <c:v>453.67649335714822</c:v>
                </c:pt>
                <c:pt idx="36">
                  <c:v>0.48179866623454953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E6E-4090-B4C1-017F4361D238}"/>
            </c:ext>
          </c:extLst>
        </c:ser>
        <c:ser>
          <c:idx val="4"/>
          <c:order val="3"/>
          <c:tx>
            <c:v>I2min</c:v>
          </c:tx>
          <c:spPr>
            <a:ln w="28575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5"/>
              <c:tx>
                <c:rich>
                  <a:bodyPr/>
                  <a:lstStyle/>
                  <a:p>
                    <a:r>
                      <a:rPr lang="en-US" sz="1100" b="1">
                        <a:solidFill>
                          <a:srgbClr val="FFC000"/>
                        </a:solidFill>
                      </a:rPr>
                      <a:t>I</a:t>
                    </a:r>
                    <a:r>
                      <a:rPr lang="en-US" sz="900" b="1">
                        <a:solidFill>
                          <a:srgbClr val="FFC000"/>
                        </a:solidFill>
                      </a:rPr>
                      <a:t>2</a:t>
                    </a:r>
                    <a:r>
                      <a:rPr lang="en-US" sz="1100" b="1">
                        <a:solidFill>
                          <a:srgbClr val="FFC000"/>
                        </a:solidFill>
                      </a:rPr>
                      <a:t> min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93C6-499E-9FAB-6D2BED4B3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Sheet1!$W$63:$W$99</c:f>
              <c:numCache>
                <c:formatCode>General</c:formatCode>
                <c:ptCount val="37"/>
                <c:pt idx="0">
                  <c:v>-4780</c:v>
                </c:pt>
                <c:pt idx="1">
                  <c:v>-4783.8050775978754</c:v>
                </c:pt>
                <c:pt idx="2">
                  <c:v>-4795.1913531604487</c:v>
                </c:pt>
                <c:pt idx="3">
                  <c:v>-4814.072175363588</c:v>
                </c:pt>
                <c:pt idx="4">
                  <c:v>-4840.3038582201034</c:v>
                </c:pt>
                <c:pt idx="5">
                  <c:v>-4873.6867745524114</c:v>
                </c:pt>
                <c:pt idx="6">
                  <c:v>-4913.9668751863364</c:v>
                </c:pt>
                <c:pt idx="7">
                  <c:v>-4960.8376223047544</c:v>
                </c:pt>
                <c:pt idx="8">
                  <c:v>-5013.9423222479527</c:v>
                </c:pt>
                <c:pt idx="9">
                  <c:v>-5072.8768400077397</c:v>
                </c:pt>
                <c:pt idx="10">
                  <c:v>-5099.2613712103239</c:v>
                </c:pt>
                <c:pt idx="11">
                  <c:v>-5099.2613712103239</c:v>
                </c:pt>
                <c:pt idx="12">
                  <c:v>-5099.2613712103239</c:v>
                </c:pt>
                <c:pt idx="13">
                  <c:v>-5099.2613712103239</c:v>
                </c:pt>
                <c:pt idx="14">
                  <c:v>-5099.2613712103239</c:v>
                </c:pt>
                <c:pt idx="15">
                  <c:v>-5099.2613712103239</c:v>
                </c:pt>
                <c:pt idx="16">
                  <c:v>-5099.2613712103239</c:v>
                </c:pt>
                <c:pt idx="17">
                  <c:v>-5099.2613712103239</c:v>
                </c:pt>
                <c:pt idx="18">
                  <c:v>-5099.2613712103239</c:v>
                </c:pt>
                <c:pt idx="19">
                  <c:v>-5099.2613712103239</c:v>
                </c:pt>
                <c:pt idx="20">
                  <c:v>-5099.2613712103239</c:v>
                </c:pt>
                <c:pt idx="21">
                  <c:v>-5099.2613712103239</c:v>
                </c:pt>
                <c:pt idx="22">
                  <c:v>-5099.2613712103239</c:v>
                </c:pt>
                <c:pt idx="23">
                  <c:v>-5099.2613712103239</c:v>
                </c:pt>
                <c:pt idx="24">
                  <c:v>-5099.2613712103239</c:v>
                </c:pt>
                <c:pt idx="25">
                  <c:v>-5099.2613712103239</c:v>
                </c:pt>
                <c:pt idx="26">
                  <c:v>-5099.2613712103239</c:v>
                </c:pt>
                <c:pt idx="27">
                  <c:v>-5099.2613712103239</c:v>
                </c:pt>
                <c:pt idx="28">
                  <c:v>-5099.2613712103239</c:v>
                </c:pt>
                <c:pt idx="29">
                  <c:v>-5099.2613712103239</c:v>
                </c:pt>
                <c:pt idx="30">
                  <c:v>-5099.2613712103239</c:v>
                </c:pt>
                <c:pt idx="31">
                  <c:v>-5099.2613712103239</c:v>
                </c:pt>
                <c:pt idx="32">
                  <c:v>-5099.2613712103239</c:v>
                </c:pt>
                <c:pt idx="33">
                  <c:v>-5099.2613712103239</c:v>
                </c:pt>
                <c:pt idx="34">
                  <c:v>-5099.2613712103239</c:v>
                </c:pt>
                <c:pt idx="35">
                  <c:v>-5099.2613712103239</c:v>
                </c:pt>
                <c:pt idx="36">
                  <c:v>-5099.2613712103239</c:v>
                </c:pt>
              </c:numCache>
            </c:numRef>
          </c:xVal>
          <c:yVal>
            <c:numRef>
              <c:f>Sheet1!$X$63:$X$99</c:f>
              <c:numCache>
                <c:formatCode>General</c:formatCode>
                <c:ptCount val="37"/>
                <c:pt idx="0">
                  <c:v>0</c:v>
                </c:pt>
                <c:pt idx="1">
                  <c:v>87.153178830288653</c:v>
                </c:pt>
                <c:pt idx="2">
                  <c:v>173.64310844387583</c:v>
                </c:pt>
                <c:pt idx="3">
                  <c:v>258.81158705353266</c:v>
                </c:pt>
                <c:pt idx="4">
                  <c:v>342.01046931925373</c:v>
                </c:pt>
                <c:pt idx="5">
                  <c:v>422.60659883488393</c:v>
                </c:pt>
                <c:pt idx="6">
                  <c:v>499.98662654663258</c:v>
                </c:pt>
                <c:pt idx="7">
                  <c:v>573.56167843456171</c:v>
                </c:pt>
                <c:pt idx="8">
                  <c:v>642.77183693526899</c:v>
                </c:pt>
                <c:pt idx="9">
                  <c:v>707.09040200144148</c:v>
                </c:pt>
                <c:pt idx="10">
                  <c:v>732.52639493300933</c:v>
                </c:pt>
                <c:pt idx="11">
                  <c:v>732.52639493300933</c:v>
                </c:pt>
                <c:pt idx="12">
                  <c:v>732.52639493300933</c:v>
                </c:pt>
                <c:pt idx="13">
                  <c:v>732.52639493300933</c:v>
                </c:pt>
                <c:pt idx="14">
                  <c:v>732.52639493300933</c:v>
                </c:pt>
                <c:pt idx="15">
                  <c:v>732.52639493300933</c:v>
                </c:pt>
                <c:pt idx="16">
                  <c:v>732.52639493300933</c:v>
                </c:pt>
                <c:pt idx="17">
                  <c:v>732.52639493300933</c:v>
                </c:pt>
                <c:pt idx="18">
                  <c:v>732.52639493300933</c:v>
                </c:pt>
                <c:pt idx="19">
                  <c:v>732.52639493300933</c:v>
                </c:pt>
                <c:pt idx="20">
                  <c:v>732.52639493300933</c:v>
                </c:pt>
                <c:pt idx="21">
                  <c:v>732.52639493300933</c:v>
                </c:pt>
                <c:pt idx="22">
                  <c:v>732.52639493300933</c:v>
                </c:pt>
                <c:pt idx="23">
                  <c:v>732.52639493300933</c:v>
                </c:pt>
                <c:pt idx="24">
                  <c:v>732.52639493300933</c:v>
                </c:pt>
                <c:pt idx="25">
                  <c:v>732.52639493300933</c:v>
                </c:pt>
                <c:pt idx="26">
                  <c:v>732.52639493300933</c:v>
                </c:pt>
                <c:pt idx="27">
                  <c:v>732.52639493300933</c:v>
                </c:pt>
                <c:pt idx="28">
                  <c:v>732.52639493300933</c:v>
                </c:pt>
                <c:pt idx="29">
                  <c:v>732.52639493300933</c:v>
                </c:pt>
                <c:pt idx="30">
                  <c:v>732.52639493300933</c:v>
                </c:pt>
                <c:pt idx="31">
                  <c:v>732.52639493300933</c:v>
                </c:pt>
                <c:pt idx="32">
                  <c:v>732.52639493300933</c:v>
                </c:pt>
                <c:pt idx="33">
                  <c:v>732.52639493300933</c:v>
                </c:pt>
                <c:pt idx="34">
                  <c:v>732.52639493300933</c:v>
                </c:pt>
                <c:pt idx="35">
                  <c:v>732.52639493300933</c:v>
                </c:pt>
                <c:pt idx="36">
                  <c:v>732.52639493300933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3C6-499E-9FAB-6D2BED4B339D}"/>
            </c:ext>
          </c:extLst>
        </c:ser>
        <c:ser>
          <c:idx val="0"/>
          <c:order val="4"/>
          <c:tx>
            <c:v>Q</c:v>
          </c:tx>
          <c:spPr>
            <a:ln w="158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5875" cap="rnd">
                <a:solidFill>
                  <a:srgbClr val="C0000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BE7A-4520-B3D7-43E92C780DB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 sz="1200" b="1">
                        <a:solidFill>
                          <a:srgbClr val="C00000"/>
                        </a:solidFill>
                      </a:rPr>
                      <a:t>Qg3phase</a:t>
                    </a:r>
                  </a:p>
                </c:rich>
              </c:tx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513347022587268"/>
                      <c:h val="4.0205011389521643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B-BE7A-4520-B3D7-43E92C780DB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E7A-4520-B3D7-43E92C780D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(Sheet1!$H$67,Sheet1!$H$67)</c:f>
              <c:numCache>
                <c:formatCode>General</c:formatCode>
                <c:ptCount val="2"/>
                <c:pt idx="0">
                  <c:v>-1489.9907102334</c:v>
                </c:pt>
                <c:pt idx="1">
                  <c:v>-1489.9907102334</c:v>
                </c:pt>
              </c:numCache>
            </c:numRef>
          </c:xVal>
          <c:yVal>
            <c:numRef>
              <c:f>(Sheet1!$I$66,Sheet1!$I$67)</c:f>
              <c:numCache>
                <c:formatCode>General</c:formatCode>
                <c:ptCount val="2"/>
                <c:pt idx="0">
                  <c:v>0</c:v>
                </c:pt>
                <c:pt idx="1">
                  <c:v>4613.3333333333303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3C6-499E-9FAB-6D2BED4B339D}"/>
            </c:ext>
          </c:extLst>
        </c:ser>
        <c:ser>
          <c:idx val="5"/>
          <c:order val="5"/>
          <c:tx>
            <c:v>P</c:v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9-3991-41D7-984A-EC549B64343F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b="1">
                        <a:solidFill>
                          <a:srgbClr val="C00000"/>
                        </a:solidFill>
                      </a:rPr>
                      <a:t>Pg3phase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2951753464081878"/>
                      <c:h val="0.11765375854214123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9-3991-41D7-984A-EC549B6434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(Sheet1!$J$74,Sheet1!$I$64)</c:f>
              <c:numCache>
                <c:formatCode>General</c:formatCode>
                <c:ptCount val="2"/>
                <c:pt idx="0">
                  <c:v>-1417.8735953832013</c:v>
                </c:pt>
                <c:pt idx="1">
                  <c:v>0</c:v>
                </c:pt>
              </c:numCache>
            </c:numRef>
          </c:xVal>
          <c:yVal>
            <c:numRef>
              <c:f>(Sheet1!$I$67,Sheet1!$I$67)</c:f>
              <c:numCache>
                <c:formatCode>General</c:formatCode>
                <c:ptCount val="2"/>
                <c:pt idx="0">
                  <c:v>4613.3333333333303</c:v>
                </c:pt>
                <c:pt idx="1">
                  <c:v>4613.3333333333303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3C6-499E-9FAB-6D2BED4B3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859896"/>
        <c:axId val="497861864"/>
      </c:scatterChart>
      <c:valAx>
        <c:axId val="497859896"/>
        <c:scaling>
          <c:orientation val="minMax"/>
          <c:max val="7000"/>
          <c:min val="-70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7861864"/>
        <c:crosses val="autoZero"/>
        <c:crossBetween val="midCat"/>
        <c:majorUnit val="1000"/>
        <c:minorUnit val="20"/>
        <c:dispUnits>
          <c:builtInUnit val="thousands"/>
        </c:dispUnits>
      </c:valAx>
      <c:valAx>
        <c:axId val="497861864"/>
        <c:scaling>
          <c:orientation val="minMax"/>
          <c:max val="7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7859896"/>
        <c:crossesAt val="0"/>
        <c:crossBetween val="midCat"/>
      </c:valAx>
      <c:spPr>
        <a:noFill/>
        <a:ln w="25400">
          <a:noFill/>
          <a:prstDash val="dash"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0°</a:t>
            </a:r>
            <a:endParaRPr lang="en-US"/>
          </a:p>
        </c:rich>
      </c:tx>
      <c:layout>
        <c:manualLayout>
          <c:xMode val="edge"/>
          <c:yMode val="edge"/>
          <c:x val="0.89748086484001577"/>
          <c:y val="0.721770229685602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2.7796173070417179E-2"/>
          <c:y val="0.16441021215150087"/>
          <c:w val="0.91264059892154603"/>
          <c:h val="0.83558978784849913"/>
        </c:manualLayout>
      </c:layout>
      <c:scatterChart>
        <c:scatterStyle val="lineMarker"/>
        <c:varyColors val="0"/>
        <c:ser>
          <c:idx val="0"/>
          <c:order val="0"/>
          <c:tx>
            <c:v>Ug</c:v>
          </c:tx>
          <c:spPr>
            <a:ln w="28575" cap="rnd">
              <a:solidFill>
                <a:srgbClr val="92D050"/>
              </a:solidFill>
              <a:round/>
              <a:tailEnd type="stealth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98-402D-892F-9D856CF651AC}"/>
                </c:ext>
              </c:extLst>
            </c:dLbl>
            <c:dLbl>
              <c:idx val="1"/>
              <c:layout>
                <c:manualLayout>
                  <c:x val="-5.8252444997307543E-2"/>
                  <c:y val="-3.020114012033766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>
                        <a:solidFill>
                          <a:srgbClr val="92D050"/>
                        </a:solidFill>
                      </a:rPr>
                      <a:t>Ug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62142790961789"/>
                      <c:h val="0.16603205543094968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7-BA98-402D-892F-9D856CF65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(Sheet1!$D$63,Sheet1!$H$73)</c:f>
              <c:numCache>
                <c:formatCode>General</c:formatCode>
                <c:ptCount val="2"/>
                <c:pt idx="0">
                  <c:v>0</c:v>
                </c:pt>
                <c:pt idx="1">
                  <c:v>5780.346820809249</c:v>
                </c:pt>
              </c:numCache>
            </c:numRef>
          </c:xVal>
          <c:yVal>
            <c:numRef>
              <c:f>(Sheet1!$H$63,Sheet1!$I$73)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98-402D-892F-9D856CF651AC}"/>
            </c:ext>
          </c:extLst>
        </c:ser>
        <c:ser>
          <c:idx val="1"/>
          <c:order val="1"/>
          <c:tx>
            <c:v>Ig</c:v>
          </c:tx>
          <c:spPr>
            <a:ln w="28575" cap="rnd">
              <a:solidFill>
                <a:srgbClr val="00B0F0"/>
              </a:solidFill>
              <a:round/>
              <a:tailEnd type="stealth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A98-402D-892F-9D856CF651AC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>
                        <a:solidFill>
                          <a:srgbClr val="00B0F0"/>
                        </a:solidFill>
                      </a:rPr>
                      <a:t>Ig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527165362637521"/>
                      <c:h val="0.13583071713910094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A-BA98-402D-892F-9D856CF65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(Sheet1!$D$63,Sheet1!$H$74)</c:f>
              <c:numCache>
                <c:formatCode>General</c:formatCode>
                <c:ptCount val="2"/>
                <c:pt idx="0">
                  <c:v>0</c:v>
                </c:pt>
                <c:pt idx="1">
                  <c:v>4613.3333333333294</c:v>
                </c:pt>
              </c:numCache>
            </c:numRef>
          </c:xVal>
          <c:yVal>
            <c:numRef>
              <c:f>(Sheet1!$H$63,Sheet1!$I$74)</c:f>
              <c:numCache>
                <c:formatCode>General</c:formatCode>
                <c:ptCount val="2"/>
                <c:pt idx="0">
                  <c:v>0</c:v>
                </c:pt>
                <c:pt idx="1">
                  <c:v>1489.9907102334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A98-402D-892F-9D856CF651AC}"/>
            </c:ext>
          </c:extLst>
        </c:ser>
        <c:ser>
          <c:idx val="2"/>
          <c:order val="2"/>
          <c:tx>
            <c:v>U12</c:v>
          </c:tx>
          <c:spPr>
            <a:ln w="28575" cap="rnd">
              <a:solidFill>
                <a:srgbClr val="FFC000"/>
              </a:solidFill>
              <a:round/>
              <a:tailEnd type="stealth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53-4E05-B579-2A45A839DB0C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>
                        <a:solidFill>
                          <a:srgbClr val="FFC000"/>
                        </a:solidFill>
                      </a:rPr>
                      <a:t>U</a:t>
                    </a:r>
                    <a:r>
                      <a:rPr lang="en-US" sz="1050" b="1">
                        <a:solidFill>
                          <a:srgbClr val="FFC000"/>
                        </a:solidFill>
                      </a:rPr>
                      <a:t>12</a:t>
                    </a:r>
                    <a:endParaRPr lang="en-US" sz="1400" b="1">
                      <a:solidFill>
                        <a:srgbClr val="FFC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014545681383892"/>
                      <c:h val="0.12073004799317653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5-BA98-402D-892F-9D856CF65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(Sheet1!$D$63,Sheet1!$H$75)</c:f>
              <c:numCache>
                <c:formatCode>General</c:formatCode>
                <c:ptCount val="2"/>
                <c:pt idx="0">
                  <c:v>0</c:v>
                </c:pt>
                <c:pt idx="1">
                  <c:v>4290.356110575849</c:v>
                </c:pt>
              </c:numCache>
            </c:numRef>
          </c:xVal>
          <c:yVal>
            <c:numRef>
              <c:f>(Sheet1!$H$63,Sheet1!$I$75)</c:f>
              <c:numCache>
                <c:formatCode>General</c:formatCode>
                <c:ptCount val="2"/>
                <c:pt idx="0">
                  <c:v>0</c:v>
                </c:pt>
                <c:pt idx="1">
                  <c:v>4613.3333333333303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A98-402D-892F-9D856CF651AC}"/>
            </c:ext>
          </c:extLst>
        </c:ser>
        <c:ser>
          <c:idx val="3"/>
          <c:order val="3"/>
          <c:tx>
            <c:v>I1</c:v>
          </c:tx>
          <c:spPr>
            <a:ln w="28575" cap="rnd">
              <a:solidFill>
                <a:sysClr val="windowText" lastClr="000000"/>
              </a:solidFill>
              <a:round/>
              <a:tailEnd type="stealth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0.20970880199030717"/>
                  <c:y val="-5.03355638197479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/>
                      <a:t>I</a:t>
                    </a:r>
                    <a:r>
                      <a:rPr lang="en-US" sz="1050" b="1"/>
                      <a:t>1</a:t>
                    </a:r>
                    <a:endParaRPr lang="en-US" sz="1400" b="1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366997742373747"/>
                      <c:h val="0.12576360437515136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8-BA98-402D-892F-9D856CF65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(Sheet1!$D$63,Sheet1!$H$76)</c:f>
              <c:numCache>
                <c:formatCode>General</c:formatCode>
                <c:ptCount val="2"/>
                <c:pt idx="0">
                  <c:v>0</c:v>
                </c:pt>
                <c:pt idx="1">
                  <c:v>-4613.3333333333294</c:v>
                </c:pt>
              </c:numCache>
            </c:numRef>
          </c:xVal>
          <c:yVal>
            <c:numRef>
              <c:f>(Sheet1!$H$63,Sheet1!$I$76)</c:f>
              <c:numCache>
                <c:formatCode>General</c:formatCode>
                <c:ptCount val="2"/>
                <c:pt idx="0">
                  <c:v>0</c:v>
                </c:pt>
                <c:pt idx="1">
                  <c:v>-1489.9907102334012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A98-402D-892F-9D856CF65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9200944"/>
        <c:axId val="589207504"/>
      </c:scatterChart>
      <c:valAx>
        <c:axId val="58920094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89207504"/>
        <c:crosses val="autoZero"/>
        <c:crossBetween val="midCat"/>
        <c:dispUnits>
          <c:builtInUnit val="thousands"/>
        </c:dispUnits>
      </c:valAx>
      <c:valAx>
        <c:axId val="58920750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89200944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pixabay.com/en/coil-circuit-symbol-electronics-146521/" TargetMode="Externa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667690</xdr:colOff>
      <xdr:row>28</xdr:row>
      <xdr:rowOff>133586</xdr:rowOff>
    </xdr:from>
    <xdr:to>
      <xdr:col>21</xdr:col>
      <xdr:colOff>405694</xdr:colOff>
      <xdr:row>54</xdr:row>
      <xdr:rowOff>131233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563EEF-3F34-448B-A34C-B843239B2A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285750</xdr:colOff>
      <xdr:row>36</xdr:row>
      <xdr:rowOff>6350</xdr:rowOff>
    </xdr:from>
    <xdr:to>
      <xdr:col>1</xdr:col>
      <xdr:colOff>285750</xdr:colOff>
      <xdr:row>44</xdr:row>
      <xdr:rowOff>171450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F2F90E68-6BBF-423B-B4EE-892A7BC39F6C}"/>
            </a:ext>
          </a:extLst>
        </xdr:cNvPr>
        <xdr:cNvCxnSpPr/>
      </xdr:nvCxnSpPr>
      <xdr:spPr>
        <a:xfrm>
          <a:off x="895350" y="3949700"/>
          <a:ext cx="0" cy="163830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304800</xdr:colOff>
      <xdr:row>36</xdr:row>
      <xdr:rowOff>0</xdr:rowOff>
    </xdr:from>
    <xdr:to>
      <xdr:col>8</xdr:col>
      <xdr:colOff>317500</xdr:colOff>
      <xdr:row>44</xdr:row>
      <xdr:rowOff>160867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28DCA301-D68F-46DE-A627-17237C27E935}"/>
            </a:ext>
          </a:extLst>
        </xdr:cNvPr>
        <xdr:cNvCxnSpPr/>
      </xdr:nvCxnSpPr>
      <xdr:spPr>
        <a:xfrm flipH="1">
          <a:off x="5223933" y="4902200"/>
          <a:ext cx="12700" cy="165100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273050</xdr:colOff>
      <xdr:row>44</xdr:row>
      <xdr:rowOff>160867</xdr:rowOff>
    </xdr:from>
    <xdr:to>
      <xdr:col>8</xdr:col>
      <xdr:colOff>304800</xdr:colOff>
      <xdr:row>44</xdr:row>
      <xdr:rowOff>171450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E3AD5AFD-BB5B-4C1F-B6C6-B367065462C5}"/>
            </a:ext>
          </a:extLst>
        </xdr:cNvPr>
        <xdr:cNvCxnSpPr/>
      </xdr:nvCxnSpPr>
      <xdr:spPr>
        <a:xfrm flipV="1">
          <a:off x="721783" y="6553200"/>
          <a:ext cx="4502150" cy="10583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269875</xdr:colOff>
      <xdr:row>36</xdr:row>
      <xdr:rowOff>13758</xdr:rowOff>
    </xdr:from>
    <xdr:to>
      <xdr:col>3</xdr:col>
      <xdr:colOff>885825</xdr:colOff>
      <xdr:row>36</xdr:row>
      <xdr:rowOff>13758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F13B191F-7E46-47E2-BFDF-0AB8F5F953BF}"/>
            </a:ext>
          </a:extLst>
        </xdr:cNvPr>
        <xdr:cNvCxnSpPr/>
      </xdr:nvCxnSpPr>
      <xdr:spPr>
        <a:xfrm>
          <a:off x="714375" y="4865158"/>
          <a:ext cx="2076450" cy="0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800100</xdr:colOff>
      <xdr:row>33</xdr:row>
      <xdr:rowOff>129117</xdr:rowOff>
    </xdr:from>
    <xdr:to>
      <xdr:col>6</xdr:col>
      <xdr:colOff>427651</xdr:colOff>
      <xdr:row>37</xdr:row>
      <xdr:rowOff>129117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D1162334-2FB9-4E42-92D1-F35EB648A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2713567" y="4472517"/>
          <a:ext cx="1278551" cy="745067"/>
        </a:xfrm>
        <a:prstGeom prst="rect">
          <a:avLst/>
        </a:prstGeom>
      </xdr:spPr>
    </xdr:pic>
    <xdr:clientData/>
  </xdr:twoCellAnchor>
  <xdr:twoCellAnchor>
    <xdr:from>
      <xdr:col>6</xdr:col>
      <xdr:colOff>275166</xdr:colOff>
      <xdr:row>36</xdr:row>
      <xdr:rowOff>13758</xdr:rowOff>
    </xdr:from>
    <xdr:to>
      <xdr:col>8</xdr:col>
      <xdr:colOff>328553</xdr:colOff>
      <xdr:row>36</xdr:row>
      <xdr:rowOff>13759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20988DF9-3B99-4A16-812A-792F961A1B17}"/>
            </a:ext>
          </a:extLst>
        </xdr:cNvPr>
        <xdr:cNvCxnSpPr/>
      </xdr:nvCxnSpPr>
      <xdr:spPr>
        <a:xfrm>
          <a:off x="3831166" y="4865158"/>
          <a:ext cx="1412287" cy="1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88900</xdr:colOff>
      <xdr:row>39</xdr:row>
      <xdr:rowOff>19050</xdr:rowOff>
    </xdr:from>
    <xdr:to>
      <xdr:col>1</xdr:col>
      <xdr:colOff>488950</xdr:colOff>
      <xdr:row>41</xdr:row>
      <xdr:rowOff>69850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3C61843F-C180-4440-92A6-11394C425094}"/>
            </a:ext>
          </a:extLst>
        </xdr:cNvPr>
        <xdr:cNvSpPr/>
      </xdr:nvSpPr>
      <xdr:spPr>
        <a:xfrm>
          <a:off x="698500" y="4514850"/>
          <a:ext cx="400050" cy="419100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8</xdr:col>
      <xdr:colOff>104775</xdr:colOff>
      <xdr:row>39</xdr:row>
      <xdr:rowOff>25400</xdr:rowOff>
    </xdr:from>
    <xdr:to>
      <xdr:col>8</xdr:col>
      <xdr:colOff>536575</xdr:colOff>
      <xdr:row>41</xdr:row>
      <xdr:rowOff>76200</xdr:rowOff>
    </xdr:to>
    <xdr:sp macro="" textlink="">
      <xdr:nvSpPr>
        <xdr:cNvPr id="27" name="Oval 26">
          <a:extLst>
            <a:ext uri="{FF2B5EF4-FFF2-40B4-BE49-F238E27FC236}">
              <a16:creationId xmlns:a16="http://schemas.microsoft.com/office/drawing/2014/main" id="{B25AA683-39FE-47A1-A09D-90C4B5757B98}"/>
            </a:ext>
          </a:extLst>
        </xdr:cNvPr>
        <xdr:cNvSpPr/>
      </xdr:nvSpPr>
      <xdr:spPr>
        <a:xfrm>
          <a:off x="5019675" y="5429250"/>
          <a:ext cx="431800" cy="419100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oneCellAnchor>
    <xdr:from>
      <xdr:col>1</xdr:col>
      <xdr:colOff>514350</xdr:colOff>
      <xdr:row>39</xdr:row>
      <xdr:rowOff>25400</xdr:rowOff>
    </xdr:from>
    <xdr:ext cx="1238250" cy="374141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D3622B8F-8A8D-4627-B9D7-91A3A0FA4B02}"/>
            </a:ext>
          </a:extLst>
        </xdr:cNvPr>
        <xdr:cNvSpPr txBox="1"/>
      </xdr:nvSpPr>
      <xdr:spPr>
        <a:xfrm>
          <a:off x="1123950" y="4521200"/>
          <a:ext cx="1238250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800" b="1" u="sng">
              <a:solidFill>
                <a:srgbClr val="92D050"/>
              </a:solidFill>
            </a:rPr>
            <a:t>U</a:t>
          </a:r>
          <a:r>
            <a:rPr lang="en-US" sz="1400" b="1">
              <a:solidFill>
                <a:srgbClr val="92D050"/>
              </a:solidFill>
            </a:rPr>
            <a:t>g</a:t>
          </a:r>
          <a:r>
            <a:rPr lang="en-US" sz="1400">
              <a:solidFill>
                <a:srgbClr val="92D050"/>
              </a:solidFill>
            </a:rPr>
            <a:t> </a:t>
          </a:r>
          <a:endParaRPr lang="en-NL" sz="1800">
            <a:solidFill>
              <a:srgbClr val="92D050"/>
            </a:solidFill>
          </a:endParaRPr>
        </a:p>
      </xdr:txBody>
    </xdr:sp>
    <xdr:clientData/>
  </xdr:oneCellAnchor>
  <xdr:oneCellAnchor>
    <xdr:from>
      <xdr:col>4</xdr:col>
      <xdr:colOff>366184</xdr:colOff>
      <xdr:row>36</xdr:row>
      <xdr:rowOff>16934</xdr:rowOff>
    </xdr:from>
    <xdr:ext cx="450701" cy="374141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2D46345D-332D-4CF1-BC63-AC33E346266A}"/>
            </a:ext>
          </a:extLst>
        </xdr:cNvPr>
        <xdr:cNvSpPr txBox="1"/>
      </xdr:nvSpPr>
      <xdr:spPr>
        <a:xfrm>
          <a:off x="2956984" y="4868334"/>
          <a:ext cx="45070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none"/>
            <a:t>jX</a:t>
          </a:r>
          <a:r>
            <a:rPr lang="en-US" sz="1200" u="none"/>
            <a:t>1</a:t>
          </a:r>
          <a:endParaRPr lang="en-NL" sz="1800" u="none"/>
        </a:p>
      </xdr:txBody>
    </xdr:sp>
    <xdr:clientData/>
  </xdr:oneCellAnchor>
  <xdr:oneCellAnchor>
    <xdr:from>
      <xdr:col>1</xdr:col>
      <xdr:colOff>508000</xdr:colOff>
      <xdr:row>33</xdr:row>
      <xdr:rowOff>177800</xdr:rowOff>
    </xdr:from>
    <xdr:ext cx="327334" cy="374141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F0138185-C52E-4B64-9CCB-996A2F3EF250}"/>
            </a:ext>
          </a:extLst>
        </xdr:cNvPr>
        <xdr:cNvSpPr txBox="1"/>
      </xdr:nvSpPr>
      <xdr:spPr>
        <a:xfrm>
          <a:off x="1117600" y="4504267"/>
          <a:ext cx="3273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sng">
              <a:solidFill>
                <a:srgbClr val="00B0F0"/>
              </a:solidFill>
            </a:rPr>
            <a:t>I</a:t>
          </a:r>
          <a:r>
            <a:rPr lang="en-US" sz="1400">
              <a:solidFill>
                <a:srgbClr val="00B0F0"/>
              </a:solidFill>
            </a:rPr>
            <a:t>g</a:t>
          </a:r>
          <a:endParaRPr lang="en-NL" sz="1800">
            <a:solidFill>
              <a:srgbClr val="00B0F0"/>
            </a:solidFill>
          </a:endParaRPr>
        </a:p>
      </xdr:txBody>
    </xdr:sp>
    <xdr:clientData/>
  </xdr:oneCellAnchor>
  <xdr:oneCellAnchor>
    <xdr:from>
      <xdr:col>3</xdr:col>
      <xdr:colOff>165100</xdr:colOff>
      <xdr:row>33</xdr:row>
      <xdr:rowOff>179918</xdr:rowOff>
    </xdr:from>
    <xdr:ext cx="333809" cy="374141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DE23695F-CAF8-4368-A09F-32FD5F26C699}"/>
            </a:ext>
          </a:extLst>
        </xdr:cNvPr>
        <xdr:cNvSpPr txBox="1"/>
      </xdr:nvSpPr>
      <xdr:spPr>
        <a:xfrm>
          <a:off x="1866900" y="4478868"/>
          <a:ext cx="333809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sng"/>
            <a:t>I</a:t>
          </a:r>
          <a:r>
            <a:rPr lang="en-US" sz="1400" u="none"/>
            <a:t>1</a:t>
          </a:r>
          <a:endParaRPr lang="en-NL" sz="1800"/>
        </a:p>
      </xdr:txBody>
    </xdr:sp>
    <xdr:clientData/>
  </xdr:oneCellAnchor>
  <xdr:twoCellAnchor>
    <xdr:from>
      <xdr:col>3</xdr:col>
      <xdr:colOff>152400</xdr:colOff>
      <xdr:row>36</xdr:row>
      <xdr:rowOff>107950</xdr:rowOff>
    </xdr:from>
    <xdr:to>
      <xdr:col>3</xdr:col>
      <xdr:colOff>476250</xdr:colOff>
      <xdr:row>36</xdr:row>
      <xdr:rowOff>107950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1CB248E1-7148-4FEB-82EA-3A8D06386014}"/>
            </a:ext>
          </a:extLst>
        </xdr:cNvPr>
        <xdr:cNvCxnSpPr/>
      </xdr:nvCxnSpPr>
      <xdr:spPr>
        <a:xfrm>
          <a:off x="1854200" y="4959350"/>
          <a:ext cx="323850" cy="0"/>
        </a:xfrm>
        <a:prstGeom prst="straightConnector1">
          <a:avLst/>
        </a:pr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488950</xdr:colOff>
      <xdr:row>36</xdr:row>
      <xdr:rowOff>101600</xdr:rowOff>
    </xdr:from>
    <xdr:to>
      <xdr:col>1</xdr:col>
      <xdr:colOff>844550</xdr:colOff>
      <xdr:row>36</xdr:row>
      <xdr:rowOff>107950</xdr:rowOff>
    </xdr:to>
    <xdr:cxnSp macro="">
      <xdr:nvCxnSpPr>
        <xdr:cNvPr id="35" name="Straight Arrow Connector 34">
          <a:extLst>
            <a:ext uri="{FF2B5EF4-FFF2-40B4-BE49-F238E27FC236}">
              <a16:creationId xmlns:a16="http://schemas.microsoft.com/office/drawing/2014/main" id="{EEBC2633-128E-4551-9FEB-8D67E004E1F1}"/>
            </a:ext>
          </a:extLst>
        </xdr:cNvPr>
        <xdr:cNvCxnSpPr/>
      </xdr:nvCxnSpPr>
      <xdr:spPr>
        <a:xfrm flipH="1">
          <a:off x="933450" y="4953000"/>
          <a:ext cx="355600" cy="6350"/>
        </a:xfrm>
        <a:prstGeom prst="straightConnector1">
          <a:avLst/>
        </a:prstGeom>
        <a:ln w="22225"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355600</xdr:colOff>
      <xdr:row>37</xdr:row>
      <xdr:rowOff>107950</xdr:rowOff>
    </xdr:from>
    <xdr:ext cx="299634" cy="374141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FB633414-5824-48B1-B65C-023B98754D4A}"/>
            </a:ext>
          </a:extLst>
        </xdr:cNvPr>
        <xdr:cNvSpPr txBox="1"/>
      </xdr:nvSpPr>
      <xdr:spPr>
        <a:xfrm>
          <a:off x="965200" y="4235450"/>
          <a:ext cx="2996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none"/>
            <a:t>+</a:t>
          </a:r>
          <a:endParaRPr lang="en-NL" sz="1800" u="none"/>
        </a:p>
      </xdr:txBody>
    </xdr:sp>
    <xdr:clientData/>
  </xdr:oneCellAnchor>
  <xdr:oneCellAnchor>
    <xdr:from>
      <xdr:col>8</xdr:col>
      <xdr:colOff>12700</xdr:colOff>
      <xdr:row>37</xdr:row>
      <xdr:rowOff>95250</xdr:rowOff>
    </xdr:from>
    <xdr:ext cx="299634" cy="374141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4D51677B-BE3F-438F-84AB-B1DE0EF359C8}"/>
            </a:ext>
          </a:extLst>
        </xdr:cNvPr>
        <xdr:cNvSpPr txBox="1"/>
      </xdr:nvSpPr>
      <xdr:spPr>
        <a:xfrm>
          <a:off x="3943350" y="5149850"/>
          <a:ext cx="2996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none"/>
            <a:t>+</a:t>
          </a:r>
          <a:endParaRPr lang="en-NL" sz="1800" u="none"/>
        </a:p>
      </xdr:txBody>
    </xdr:sp>
    <xdr:clientData/>
  </xdr:oneCellAnchor>
  <xdr:oneCellAnchor>
    <xdr:from>
      <xdr:col>1</xdr:col>
      <xdr:colOff>342900</xdr:colOff>
      <xdr:row>40</xdr:row>
      <xdr:rowOff>63500</xdr:rowOff>
    </xdr:from>
    <xdr:ext cx="299634" cy="374141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A9F7EB6D-393B-448F-BACD-544C752C3B43}"/>
            </a:ext>
          </a:extLst>
        </xdr:cNvPr>
        <xdr:cNvSpPr txBox="1"/>
      </xdr:nvSpPr>
      <xdr:spPr>
        <a:xfrm>
          <a:off x="952500" y="4743450"/>
          <a:ext cx="2996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none"/>
            <a:t>_</a:t>
          </a:r>
          <a:endParaRPr lang="en-NL" sz="1800" u="none"/>
        </a:p>
      </xdr:txBody>
    </xdr:sp>
    <xdr:clientData/>
  </xdr:oneCellAnchor>
  <xdr:oneCellAnchor>
    <xdr:from>
      <xdr:col>8</xdr:col>
      <xdr:colOff>25400</xdr:colOff>
      <xdr:row>40</xdr:row>
      <xdr:rowOff>82550</xdr:rowOff>
    </xdr:from>
    <xdr:ext cx="299634" cy="374141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C74772AE-5383-40CE-834B-1FA92640DC7D}"/>
            </a:ext>
          </a:extLst>
        </xdr:cNvPr>
        <xdr:cNvSpPr txBox="1"/>
      </xdr:nvSpPr>
      <xdr:spPr>
        <a:xfrm>
          <a:off x="3956050" y="5689600"/>
          <a:ext cx="29963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u="none"/>
            <a:t>_</a:t>
          </a:r>
          <a:endParaRPr lang="en-NL" sz="1800" u="none"/>
        </a:p>
      </xdr:txBody>
    </xdr:sp>
    <xdr:clientData/>
  </xdr:oneCellAnchor>
  <xdr:oneCellAnchor>
    <xdr:from>
      <xdr:col>19</xdr:col>
      <xdr:colOff>101600</xdr:colOff>
      <xdr:row>37</xdr:row>
      <xdr:rowOff>171450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1F56984-4398-476B-8049-EAF128A16621}"/>
            </a:ext>
          </a:extLst>
        </xdr:cNvPr>
        <xdr:cNvSpPr txBox="1"/>
      </xdr:nvSpPr>
      <xdr:spPr>
        <a:xfrm>
          <a:off x="9512300" y="412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NL" sz="1100"/>
        </a:p>
      </xdr:txBody>
    </xdr:sp>
    <xdr:clientData/>
  </xdr:oneCellAnchor>
  <xdr:twoCellAnchor>
    <xdr:from>
      <xdr:col>12</xdr:col>
      <xdr:colOff>419100</xdr:colOff>
      <xdr:row>37</xdr:row>
      <xdr:rowOff>107950</xdr:rowOff>
    </xdr:from>
    <xdr:to>
      <xdr:col>14</xdr:col>
      <xdr:colOff>304800</xdr:colOff>
      <xdr:row>39</xdr:row>
      <xdr:rowOff>6350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80ED9DF-B9E1-4EB7-BDD9-B4485E43C4E9}"/>
            </a:ext>
          </a:extLst>
        </xdr:cNvPr>
        <xdr:cNvSpPr txBox="1"/>
      </xdr:nvSpPr>
      <xdr:spPr>
        <a:xfrm>
          <a:off x="5467350" y="4419600"/>
          <a:ext cx="110490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Capacity</a:t>
          </a:r>
          <a:r>
            <a:rPr lang="en-US" sz="1100" baseline="0"/>
            <a:t> curve</a:t>
          </a:r>
          <a:r>
            <a:rPr lang="en-US" sz="1100"/>
            <a:t>:</a:t>
          </a:r>
          <a:endParaRPr lang="en-NL" sz="1100"/>
        </a:p>
      </xdr:txBody>
    </xdr:sp>
    <xdr:clientData/>
  </xdr:twoCellAnchor>
  <xdr:twoCellAnchor>
    <xdr:from>
      <xdr:col>8</xdr:col>
      <xdr:colOff>438150</xdr:colOff>
      <xdr:row>40</xdr:row>
      <xdr:rowOff>0</xdr:rowOff>
    </xdr:from>
    <xdr:to>
      <xdr:col>9</xdr:col>
      <xdr:colOff>584200</xdr:colOff>
      <xdr:row>40</xdr:row>
      <xdr:rowOff>107950</xdr:rowOff>
    </xdr:to>
    <xdr:sp macro="" textlink="">
      <xdr:nvSpPr>
        <xdr:cNvPr id="15" name="Cylinder 14">
          <a:extLst>
            <a:ext uri="{FF2B5EF4-FFF2-40B4-BE49-F238E27FC236}">
              <a16:creationId xmlns:a16="http://schemas.microsoft.com/office/drawing/2014/main" id="{3F5415F2-64D8-4070-8CA2-2E178F45BF80}"/>
            </a:ext>
          </a:extLst>
        </xdr:cNvPr>
        <xdr:cNvSpPr/>
      </xdr:nvSpPr>
      <xdr:spPr>
        <a:xfrm rot="5400000">
          <a:off x="4692650" y="5283200"/>
          <a:ext cx="107950" cy="755650"/>
        </a:xfrm>
        <a:prstGeom prst="can">
          <a:avLst/>
        </a:prstGeom>
        <a:noFill/>
        <a:ln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10</xdr:col>
      <xdr:colOff>57150</xdr:colOff>
      <xdr:row>39</xdr:row>
      <xdr:rowOff>25400</xdr:rowOff>
    </xdr:from>
    <xdr:to>
      <xdr:col>10</xdr:col>
      <xdr:colOff>120650</xdr:colOff>
      <xdr:row>41</xdr:row>
      <xdr:rowOff>114300</xdr:rowOff>
    </xdr:to>
    <xdr:sp macro="" textlink="">
      <xdr:nvSpPr>
        <xdr:cNvPr id="20" name="Arc 19">
          <a:extLst>
            <a:ext uri="{FF2B5EF4-FFF2-40B4-BE49-F238E27FC236}">
              <a16:creationId xmlns:a16="http://schemas.microsoft.com/office/drawing/2014/main" id="{3C15F619-23F4-4FD5-8184-27C4A4409524}"/>
            </a:ext>
          </a:extLst>
        </xdr:cNvPr>
        <xdr:cNvSpPr/>
      </xdr:nvSpPr>
      <xdr:spPr>
        <a:xfrm>
          <a:off x="5289550" y="5416550"/>
          <a:ext cx="63500" cy="457200"/>
        </a:xfrm>
        <a:prstGeom prst="arc">
          <a:avLst>
            <a:gd name="adj1" fmla="val 16200000"/>
            <a:gd name="adj2" fmla="val 13980291"/>
          </a:avLst>
        </a:prstGeom>
        <a:ln w="15875">
          <a:solidFill>
            <a:schemeClr val="bg2">
              <a:lumMod val="50000"/>
            </a:schemeClr>
          </a:solidFill>
          <a:tailEnd type="stealt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oneCellAnchor>
    <xdr:from>
      <xdr:col>9</xdr:col>
      <xdr:colOff>184150</xdr:colOff>
      <xdr:row>41</xdr:row>
      <xdr:rowOff>63500</xdr:rowOff>
    </xdr:from>
    <xdr:ext cx="788806" cy="280205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6086E72-10EB-4814-B84D-ED21097CCBDC}"/>
            </a:ext>
          </a:extLst>
        </xdr:cNvPr>
        <xdr:cNvSpPr txBox="1"/>
      </xdr:nvSpPr>
      <xdr:spPr>
        <a:xfrm>
          <a:off x="4724400" y="5854700"/>
          <a:ext cx="788806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u="none" baseline="0">
              <a:solidFill>
                <a:schemeClr val="bg2">
                  <a:lumMod val="50000"/>
                </a:schemeClr>
              </a:solidFill>
            </a:rPr>
            <a:t>3000 rpm</a:t>
          </a:r>
          <a:endParaRPr lang="en-NL" sz="1200" u="none">
            <a:solidFill>
              <a:schemeClr val="bg2">
                <a:lumMod val="50000"/>
              </a:schemeClr>
            </a:solidFill>
          </a:endParaRPr>
        </a:p>
      </xdr:txBody>
    </xdr:sp>
    <xdr:clientData/>
  </xdr:oneCellAnchor>
  <xdr:twoCellAnchor>
    <xdr:from>
      <xdr:col>1</xdr:col>
      <xdr:colOff>92078</xdr:colOff>
      <xdr:row>45</xdr:row>
      <xdr:rowOff>120650</xdr:rowOff>
    </xdr:from>
    <xdr:to>
      <xdr:col>2</xdr:col>
      <xdr:colOff>165103</xdr:colOff>
      <xdr:row>46</xdr:row>
      <xdr:rowOff>88900</xdr:rowOff>
    </xdr:to>
    <xdr:sp macro="" textlink="">
      <xdr:nvSpPr>
        <xdr:cNvPr id="22" name="Left Brace 21">
          <a:extLst>
            <a:ext uri="{FF2B5EF4-FFF2-40B4-BE49-F238E27FC236}">
              <a16:creationId xmlns:a16="http://schemas.microsoft.com/office/drawing/2014/main" id="{9CC2AFD0-73C2-48F7-A8B1-B5A8562F7AE2}"/>
            </a:ext>
          </a:extLst>
        </xdr:cNvPr>
        <xdr:cNvSpPr/>
      </xdr:nvSpPr>
      <xdr:spPr>
        <a:xfrm rot="16200000">
          <a:off x="966791" y="5456237"/>
          <a:ext cx="152400" cy="682625"/>
        </a:xfrm>
        <a:prstGeom prst="leftBrace">
          <a:avLst/>
        </a:prstGeom>
        <a:ln w="12700">
          <a:solidFill>
            <a:schemeClr val="bg1">
              <a:lumMod val="6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3</xdr:col>
      <xdr:colOff>133354</xdr:colOff>
      <xdr:row>45</xdr:row>
      <xdr:rowOff>139699</xdr:rowOff>
    </xdr:from>
    <xdr:to>
      <xdr:col>9</xdr:col>
      <xdr:colOff>250830</xdr:colOff>
      <xdr:row>46</xdr:row>
      <xdr:rowOff>76200</xdr:rowOff>
    </xdr:to>
    <xdr:sp macro="" textlink="">
      <xdr:nvSpPr>
        <xdr:cNvPr id="37" name="Left Brace 36">
          <a:extLst>
            <a:ext uri="{FF2B5EF4-FFF2-40B4-BE49-F238E27FC236}">
              <a16:creationId xmlns:a16="http://schemas.microsoft.com/office/drawing/2014/main" id="{A7026048-3951-4966-B930-708750965FB4}"/>
            </a:ext>
          </a:extLst>
        </xdr:cNvPr>
        <xdr:cNvSpPr/>
      </xdr:nvSpPr>
      <xdr:spPr>
        <a:xfrm rot="16200000">
          <a:off x="3627441" y="4703762"/>
          <a:ext cx="120651" cy="2206626"/>
        </a:xfrm>
        <a:prstGeom prst="leftBrace">
          <a:avLst/>
        </a:prstGeom>
        <a:ln w="12700">
          <a:solidFill>
            <a:schemeClr val="bg1">
              <a:lumMod val="6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oneCellAnchor>
    <xdr:from>
      <xdr:col>1</xdr:col>
      <xdr:colOff>234950</xdr:colOff>
      <xdr:row>46</xdr:row>
      <xdr:rowOff>114300</xdr:rowOff>
    </xdr:from>
    <xdr:ext cx="426976" cy="280205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FEDB3DB4-E58C-4FFD-9D3D-7DB4C9F17D69}"/>
            </a:ext>
          </a:extLst>
        </xdr:cNvPr>
        <xdr:cNvSpPr txBox="1"/>
      </xdr:nvSpPr>
      <xdr:spPr>
        <a:xfrm>
          <a:off x="844550" y="5899150"/>
          <a:ext cx="426976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u="none" baseline="0">
              <a:solidFill>
                <a:schemeClr val="bg2">
                  <a:lumMod val="50000"/>
                </a:schemeClr>
              </a:solidFill>
            </a:rPr>
            <a:t>grid</a:t>
          </a:r>
          <a:endParaRPr lang="en-NL" sz="1200" u="none">
            <a:solidFill>
              <a:schemeClr val="bg2">
                <a:lumMod val="50000"/>
              </a:schemeClr>
            </a:solidFill>
          </a:endParaRPr>
        </a:p>
      </xdr:txBody>
    </xdr:sp>
    <xdr:clientData/>
  </xdr:oneCellAnchor>
  <xdr:oneCellAnchor>
    <xdr:from>
      <xdr:col>3</xdr:col>
      <xdr:colOff>552450</xdr:colOff>
      <xdr:row>46</xdr:row>
      <xdr:rowOff>120650</xdr:rowOff>
    </xdr:from>
    <xdr:ext cx="1634294" cy="280205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E4DCDC99-EB87-447C-AD37-A712BEBD862C}"/>
            </a:ext>
          </a:extLst>
        </xdr:cNvPr>
        <xdr:cNvSpPr txBox="1"/>
      </xdr:nvSpPr>
      <xdr:spPr>
        <a:xfrm>
          <a:off x="3003550" y="5911850"/>
          <a:ext cx="1634294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u="none" baseline="0">
              <a:solidFill>
                <a:schemeClr val="bg2">
                  <a:lumMod val="50000"/>
                </a:schemeClr>
              </a:solidFill>
            </a:rPr>
            <a:t>synchronous generator</a:t>
          </a:r>
          <a:endParaRPr lang="en-NL" sz="1200" u="none">
            <a:solidFill>
              <a:schemeClr val="bg2">
                <a:lumMod val="50000"/>
              </a:schemeClr>
            </a:solidFill>
          </a:endParaRPr>
        </a:p>
      </xdr:txBody>
    </xdr:sp>
    <xdr:clientData/>
  </xdr:oneCellAnchor>
  <xdr:twoCellAnchor>
    <xdr:from>
      <xdr:col>9</xdr:col>
      <xdr:colOff>60325</xdr:colOff>
      <xdr:row>39</xdr:row>
      <xdr:rowOff>139700</xdr:rowOff>
    </xdr:from>
    <xdr:to>
      <xdr:col>9</xdr:col>
      <xdr:colOff>276225</xdr:colOff>
      <xdr:row>40</xdr:row>
      <xdr:rowOff>165100</xdr:rowOff>
    </xdr:to>
    <xdr:sp macro="" textlink="">
      <xdr:nvSpPr>
        <xdr:cNvPr id="44" name="Arc 43">
          <a:extLst>
            <a:ext uri="{FF2B5EF4-FFF2-40B4-BE49-F238E27FC236}">
              <a16:creationId xmlns:a16="http://schemas.microsoft.com/office/drawing/2014/main" id="{7C81F4E7-473F-42C0-B6F1-D4FB997BA5D1}"/>
            </a:ext>
          </a:extLst>
        </xdr:cNvPr>
        <xdr:cNvSpPr/>
      </xdr:nvSpPr>
      <xdr:spPr>
        <a:xfrm>
          <a:off x="4600575" y="4641850"/>
          <a:ext cx="215900" cy="209550"/>
        </a:xfrm>
        <a:prstGeom prst="arc">
          <a:avLst>
            <a:gd name="adj1" fmla="val 8466930"/>
            <a:gd name="adj2" fmla="val 13980291"/>
          </a:avLst>
        </a:prstGeom>
        <a:ln w="15875">
          <a:solidFill>
            <a:schemeClr val="bg2">
              <a:lumMod val="50000"/>
            </a:schemeClr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9</xdr:col>
      <xdr:colOff>114300</xdr:colOff>
      <xdr:row>39</xdr:row>
      <xdr:rowOff>136525</xdr:rowOff>
    </xdr:from>
    <xdr:to>
      <xdr:col>9</xdr:col>
      <xdr:colOff>330200</xdr:colOff>
      <xdr:row>40</xdr:row>
      <xdr:rowOff>161925</xdr:rowOff>
    </xdr:to>
    <xdr:sp macro="" textlink="">
      <xdr:nvSpPr>
        <xdr:cNvPr id="45" name="Arc 44">
          <a:extLst>
            <a:ext uri="{FF2B5EF4-FFF2-40B4-BE49-F238E27FC236}">
              <a16:creationId xmlns:a16="http://schemas.microsoft.com/office/drawing/2014/main" id="{4EA49150-FD66-4368-B33F-6DC4CF3D250B}"/>
            </a:ext>
          </a:extLst>
        </xdr:cNvPr>
        <xdr:cNvSpPr/>
      </xdr:nvSpPr>
      <xdr:spPr>
        <a:xfrm>
          <a:off x="4654550" y="4638675"/>
          <a:ext cx="215900" cy="209550"/>
        </a:xfrm>
        <a:prstGeom prst="arc">
          <a:avLst>
            <a:gd name="adj1" fmla="val 8466930"/>
            <a:gd name="adj2" fmla="val 13980291"/>
          </a:avLst>
        </a:prstGeom>
        <a:ln w="15875">
          <a:solidFill>
            <a:schemeClr val="bg2">
              <a:lumMod val="50000"/>
            </a:schemeClr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9</xdr:col>
      <xdr:colOff>59352</xdr:colOff>
      <xdr:row>38</xdr:row>
      <xdr:rowOff>19050</xdr:rowOff>
    </xdr:from>
    <xdr:to>
      <xdr:col>9</xdr:col>
      <xdr:colOff>105071</xdr:colOff>
      <xdr:row>39</xdr:row>
      <xdr:rowOff>171450</xdr:rowOff>
    </xdr:to>
    <xdr:sp macro="" textlink="">
      <xdr:nvSpPr>
        <xdr:cNvPr id="24" name="Freeform: Shape 23">
          <a:extLst>
            <a:ext uri="{FF2B5EF4-FFF2-40B4-BE49-F238E27FC236}">
              <a16:creationId xmlns:a16="http://schemas.microsoft.com/office/drawing/2014/main" id="{AA04601E-945D-42F2-BF53-1BC51BF107AC}"/>
            </a:ext>
          </a:extLst>
        </xdr:cNvPr>
        <xdr:cNvSpPr/>
      </xdr:nvSpPr>
      <xdr:spPr>
        <a:xfrm>
          <a:off x="5063152" y="5226050"/>
          <a:ext cx="45719" cy="336550"/>
        </a:xfrm>
        <a:custGeom>
          <a:avLst/>
          <a:gdLst>
            <a:gd name="connsiteX0" fmla="*/ 58123 w 156548"/>
            <a:gd name="connsiteY0" fmla="*/ 530225 h 530225"/>
            <a:gd name="connsiteX1" fmla="*/ 4148 w 156548"/>
            <a:gd name="connsiteY1" fmla="*/ 215900 h 530225"/>
            <a:gd name="connsiteX2" fmla="*/ 156548 w 156548"/>
            <a:gd name="connsiteY2" fmla="*/ 0 h 5302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56548" h="530225">
              <a:moveTo>
                <a:pt x="58123" y="530225"/>
              </a:moveTo>
              <a:cubicBezTo>
                <a:pt x="22933" y="417248"/>
                <a:pt x="-12256" y="304271"/>
                <a:pt x="4148" y="215900"/>
              </a:cubicBezTo>
              <a:cubicBezTo>
                <a:pt x="20552" y="127529"/>
                <a:pt x="121094" y="34925"/>
                <a:pt x="156548" y="0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9</xdr:col>
      <xdr:colOff>98425</xdr:colOff>
      <xdr:row>38</xdr:row>
      <xdr:rowOff>6350</xdr:rowOff>
    </xdr:from>
    <xdr:to>
      <xdr:col>9</xdr:col>
      <xdr:colOff>184150</xdr:colOff>
      <xdr:row>39</xdr:row>
      <xdr:rowOff>161925</xdr:rowOff>
    </xdr:to>
    <xdr:sp macro="" textlink="">
      <xdr:nvSpPr>
        <xdr:cNvPr id="46" name="Freeform: Shape 45">
          <a:extLst>
            <a:ext uri="{FF2B5EF4-FFF2-40B4-BE49-F238E27FC236}">
              <a16:creationId xmlns:a16="http://schemas.microsoft.com/office/drawing/2014/main" id="{170B1D18-1091-4E9D-B8BB-77A016AFEE4B}"/>
            </a:ext>
          </a:extLst>
        </xdr:cNvPr>
        <xdr:cNvSpPr/>
      </xdr:nvSpPr>
      <xdr:spPr>
        <a:xfrm>
          <a:off x="5102225" y="5213350"/>
          <a:ext cx="85725" cy="339725"/>
        </a:xfrm>
        <a:custGeom>
          <a:avLst/>
          <a:gdLst>
            <a:gd name="connsiteX0" fmla="*/ 58123 w 156548"/>
            <a:gd name="connsiteY0" fmla="*/ 530225 h 530225"/>
            <a:gd name="connsiteX1" fmla="*/ 4148 w 156548"/>
            <a:gd name="connsiteY1" fmla="*/ 215900 h 530225"/>
            <a:gd name="connsiteX2" fmla="*/ 156548 w 156548"/>
            <a:gd name="connsiteY2" fmla="*/ 0 h 5302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56548" h="530225">
              <a:moveTo>
                <a:pt x="58123" y="530225"/>
              </a:moveTo>
              <a:cubicBezTo>
                <a:pt x="22933" y="417248"/>
                <a:pt x="-12256" y="304271"/>
                <a:pt x="4148" y="215900"/>
              </a:cubicBezTo>
              <a:cubicBezTo>
                <a:pt x="20552" y="127529"/>
                <a:pt x="121094" y="34925"/>
                <a:pt x="156548" y="0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9</xdr:col>
      <xdr:colOff>62679</xdr:colOff>
      <xdr:row>38</xdr:row>
      <xdr:rowOff>75142</xdr:rowOff>
    </xdr:from>
    <xdr:to>
      <xdr:col>9</xdr:col>
      <xdr:colOff>78316</xdr:colOff>
      <xdr:row>38</xdr:row>
      <xdr:rowOff>158205</xdr:rowOff>
    </xdr:to>
    <xdr:cxnSp macro="">
      <xdr:nvCxnSpPr>
        <xdr:cNvPr id="33" name="Straight Arrow Connector 32">
          <a:extLst>
            <a:ext uri="{FF2B5EF4-FFF2-40B4-BE49-F238E27FC236}">
              <a16:creationId xmlns:a16="http://schemas.microsoft.com/office/drawing/2014/main" id="{2C641F5C-EE24-4FEE-A0F2-A4168F70B6F2}"/>
            </a:ext>
          </a:extLst>
        </xdr:cNvPr>
        <xdr:cNvCxnSpPr/>
      </xdr:nvCxnSpPr>
      <xdr:spPr>
        <a:xfrm flipH="1">
          <a:off x="5066479" y="5332942"/>
          <a:ext cx="15637" cy="830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716492</xdr:colOff>
      <xdr:row>36</xdr:row>
      <xdr:rowOff>170392</xdr:rowOff>
    </xdr:from>
    <xdr:to>
      <xdr:col>10</xdr:col>
      <xdr:colOff>132292</xdr:colOff>
      <xdr:row>38</xdr:row>
      <xdr:rowOff>122767</xdr:rowOff>
    </xdr:to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1B3FE5EE-603A-4485-B045-864099EF8260}"/>
            </a:ext>
          </a:extLst>
        </xdr:cNvPr>
        <xdr:cNvSpPr txBox="1"/>
      </xdr:nvSpPr>
      <xdr:spPr>
        <a:xfrm>
          <a:off x="4814359" y="5055659"/>
          <a:ext cx="550333" cy="3249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/>
            <a:t>I</a:t>
          </a:r>
          <a:r>
            <a:rPr lang="en-US" sz="1050"/>
            <a:t>2</a:t>
          </a:r>
          <a:endParaRPr lang="en-NL" sz="1600"/>
        </a:p>
      </xdr:txBody>
    </xdr:sp>
    <xdr:clientData/>
  </xdr:twoCellAnchor>
  <xdr:twoCellAnchor>
    <xdr:from>
      <xdr:col>13</xdr:col>
      <xdr:colOff>112184</xdr:colOff>
      <xdr:row>0</xdr:row>
      <xdr:rowOff>679449</xdr:rowOff>
    </xdr:from>
    <xdr:to>
      <xdr:col>22</xdr:col>
      <xdr:colOff>247649</xdr:colOff>
      <xdr:row>28</xdr:row>
      <xdr:rowOff>182976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73E91D05-3CD5-4A16-929A-7FFCB3E100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370417</xdr:colOff>
      <xdr:row>1</xdr:row>
      <xdr:rowOff>67733</xdr:rowOff>
    </xdr:from>
    <xdr:to>
      <xdr:col>14</xdr:col>
      <xdr:colOff>395817</xdr:colOff>
      <xdr:row>2</xdr:row>
      <xdr:rowOff>152400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3D7D40C-2194-4D53-B6C4-766159EB451C}"/>
            </a:ext>
          </a:extLst>
        </xdr:cNvPr>
        <xdr:cNvSpPr txBox="1"/>
      </xdr:nvSpPr>
      <xdr:spPr>
        <a:xfrm>
          <a:off x="5418667" y="848783"/>
          <a:ext cx="1244600" cy="268817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Vectors</a:t>
          </a:r>
          <a:r>
            <a:rPr lang="en-US" sz="1100" baseline="0"/>
            <a:t> U and I:</a:t>
          </a:r>
          <a:endParaRPr lang="en-NL" sz="1100"/>
        </a:p>
      </xdr:txBody>
    </xdr:sp>
    <xdr:clientData/>
  </xdr:twoCellAnchor>
  <xdr:twoCellAnchor>
    <xdr:from>
      <xdr:col>2</xdr:col>
      <xdr:colOff>812800</xdr:colOff>
      <xdr:row>24</xdr:row>
      <xdr:rowOff>0</xdr:rowOff>
    </xdr:from>
    <xdr:to>
      <xdr:col>2</xdr:col>
      <xdr:colOff>812800</xdr:colOff>
      <xdr:row>27</xdr:row>
      <xdr:rowOff>184150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C94CB9F3-E232-4F42-9673-6641ED66AEB7}"/>
            </a:ext>
          </a:extLst>
        </xdr:cNvPr>
        <xdr:cNvCxnSpPr/>
      </xdr:nvCxnSpPr>
      <xdr:spPr>
        <a:xfrm>
          <a:off x="2032000" y="2463800"/>
          <a:ext cx="0" cy="7366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266700</xdr:colOff>
      <xdr:row>35</xdr:row>
      <xdr:rowOff>165100</xdr:rowOff>
    </xdr:from>
    <xdr:to>
      <xdr:col>2</xdr:col>
      <xdr:colOff>323850</xdr:colOff>
      <xdr:row>36</xdr:row>
      <xdr:rowOff>57150</xdr:rowOff>
    </xdr:to>
    <xdr:sp macro="" textlink="">
      <xdr:nvSpPr>
        <xdr:cNvPr id="49" name="Oval 48">
          <a:extLst>
            <a:ext uri="{FF2B5EF4-FFF2-40B4-BE49-F238E27FC236}">
              <a16:creationId xmlns:a16="http://schemas.microsoft.com/office/drawing/2014/main" id="{EEB18675-2267-4967-ABF4-49798F23B128}"/>
            </a:ext>
          </a:extLst>
        </xdr:cNvPr>
        <xdr:cNvSpPr/>
      </xdr:nvSpPr>
      <xdr:spPr>
        <a:xfrm>
          <a:off x="1697567" y="4881033"/>
          <a:ext cx="57150" cy="78317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twoCellAnchor>
    <xdr:from>
      <xdr:col>2</xdr:col>
      <xdr:colOff>279400</xdr:colOff>
      <xdr:row>44</xdr:row>
      <xdr:rowOff>133350</xdr:rowOff>
    </xdr:from>
    <xdr:to>
      <xdr:col>2</xdr:col>
      <xdr:colOff>336550</xdr:colOff>
      <xdr:row>45</xdr:row>
      <xdr:rowOff>25400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3A3BE8B-9C6E-438C-AEEB-EE3372ED152C}"/>
            </a:ext>
          </a:extLst>
        </xdr:cNvPr>
        <xdr:cNvSpPr/>
      </xdr:nvSpPr>
      <xdr:spPr>
        <a:xfrm>
          <a:off x="1498600" y="5734050"/>
          <a:ext cx="57150" cy="76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NL" sz="1100"/>
        </a:p>
      </xdr:txBody>
    </xdr:sp>
    <xdr:clientData/>
  </xdr:twoCellAnchor>
  <xdr:oneCellAnchor>
    <xdr:from>
      <xdr:col>7</xdr:col>
      <xdr:colOff>285750</xdr:colOff>
      <xdr:row>39</xdr:row>
      <xdr:rowOff>12700</xdr:rowOff>
    </xdr:from>
    <xdr:ext cx="488724" cy="374141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19D23D1F-D320-477A-9FD6-50750D627031}"/>
            </a:ext>
          </a:extLst>
        </xdr:cNvPr>
        <xdr:cNvSpPr txBox="1"/>
      </xdr:nvSpPr>
      <xdr:spPr>
        <a:xfrm>
          <a:off x="4241800" y="5416550"/>
          <a:ext cx="488724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 u="sng">
              <a:solidFill>
                <a:srgbClr val="FFC000"/>
              </a:solidFill>
            </a:rPr>
            <a:t>U</a:t>
          </a:r>
          <a:r>
            <a:rPr lang="en-US" sz="1200" b="1" u="none">
              <a:solidFill>
                <a:srgbClr val="FFC000"/>
              </a:solidFill>
            </a:rPr>
            <a:t>12</a:t>
          </a:r>
          <a:endParaRPr lang="en-NL" sz="1800" b="1">
            <a:solidFill>
              <a:srgbClr val="FFC000"/>
            </a:solidFill>
          </a:endParaRP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0.74263</cdr:x>
      <cdr:y>0.30145</cdr:y>
    </cdr:from>
    <cdr:to>
      <cdr:x>0.93804</cdr:x>
      <cdr:y>0.45476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43C20CF3-96C8-457A-923D-840FC6B4293C}"/>
            </a:ext>
          </a:extLst>
        </cdr:cNvPr>
        <cdr:cNvSpPr txBox="1"/>
      </cdr:nvSpPr>
      <cdr:spPr>
        <a:xfrm xmlns:a="http://schemas.openxmlformats.org/drawingml/2006/main">
          <a:off x="5074065" y="1071945"/>
          <a:ext cx="1335203" cy="5451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>
              <a:solidFill>
                <a:srgbClr val="C00000"/>
              </a:solidFill>
            </a:rPr>
            <a:t>Sg3phase</a:t>
          </a:r>
          <a:r>
            <a:rPr lang="en-US" sz="1100" baseline="0">
              <a:solidFill>
                <a:srgbClr val="C00000"/>
              </a:solidFill>
            </a:rPr>
            <a:t> </a:t>
          </a:r>
          <a:r>
            <a:rPr lang="en-US" sz="1100">
              <a:solidFill>
                <a:srgbClr val="C00000"/>
              </a:solidFill>
            </a:rPr>
            <a:t>max</a:t>
          </a:r>
        </a:p>
        <a:p xmlns:a="http://schemas.openxmlformats.org/drawingml/2006/main">
          <a:r>
            <a:rPr lang="en-US" sz="1100">
              <a:solidFill>
                <a:srgbClr val="C00000"/>
              </a:solidFill>
            </a:rPr>
            <a:t>900 kVA</a:t>
          </a:r>
          <a:endParaRPr lang="en-NL" sz="1100">
            <a:solidFill>
              <a:srgbClr val="C0000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73029-0448-421E-B983-18626680B4CA}">
  <dimension ref="B1:Y212"/>
  <sheetViews>
    <sheetView showGridLines="0" showRowColHeaders="0" tabSelected="1" zoomScale="75" zoomScaleNormal="75" workbookViewId="0">
      <selection activeCell="L10" sqref="L10"/>
    </sheetView>
  </sheetViews>
  <sheetFormatPr defaultRowHeight="15" x14ac:dyDescent="0.25"/>
  <cols>
    <col min="1" max="1" width="6.28515625" customWidth="1"/>
    <col min="2" max="2" width="14" customWidth="1"/>
    <col min="3" max="3" width="6.85546875" customWidth="1"/>
    <col min="4" max="4" width="12.7109375" customWidth="1"/>
    <col min="5" max="6" width="5.42578125" customWidth="1"/>
    <col min="7" max="7" width="8.7109375" customWidth="1"/>
    <col min="8" max="8" width="10.7109375" customWidth="1"/>
    <col min="9" max="9" width="13" customWidth="1"/>
    <col min="10" max="10" width="5.5703125" customWidth="1"/>
    <col min="11" max="11" width="14.28515625" customWidth="1"/>
    <col min="12" max="12" width="1.28515625" customWidth="1"/>
    <col min="13" max="13" width="8.7109375" customWidth="1"/>
    <col min="14" max="14" width="9.7109375" customWidth="1"/>
    <col min="15" max="15" width="8.140625" customWidth="1"/>
    <col min="18" max="18" width="15.85546875" customWidth="1"/>
  </cols>
  <sheetData>
    <row r="1" spans="2:13" ht="61.5" x14ac:dyDescent="0.9">
      <c r="B1" s="9" t="s">
        <v>33</v>
      </c>
    </row>
    <row r="2" spans="2:13" s="20" customFormat="1" ht="18.75" x14ac:dyDescent="0.3">
      <c r="B2" s="19" t="s">
        <v>79</v>
      </c>
    </row>
    <row r="3" spans="2:13" s="20" customFormat="1" ht="18.75" x14ac:dyDescent="0.3">
      <c r="B3" s="21"/>
      <c r="C3" s="22"/>
    </row>
    <row r="4" spans="2:13" s="20" customFormat="1" ht="18.75" hidden="1" x14ac:dyDescent="0.3">
      <c r="C4" s="21" t="s">
        <v>1</v>
      </c>
      <c r="D4" s="23">
        <v>210</v>
      </c>
      <c r="E4" s="23"/>
      <c r="F4" s="23"/>
      <c r="G4" s="23"/>
      <c r="H4" s="20" t="s">
        <v>20</v>
      </c>
    </row>
    <row r="5" spans="2:13" s="20" customFormat="1" ht="18.75" hidden="1" x14ac:dyDescent="0.3">
      <c r="C5" s="21" t="s">
        <v>2</v>
      </c>
      <c r="D5" s="23">
        <v>100</v>
      </c>
      <c r="E5" s="23"/>
      <c r="F5" s="23"/>
      <c r="G5" s="23"/>
      <c r="H5" s="19" t="s">
        <v>21</v>
      </c>
    </row>
    <row r="6" spans="2:13" s="20" customFormat="1" ht="18.75" hidden="1" x14ac:dyDescent="0.3">
      <c r="C6" s="21" t="s">
        <v>31</v>
      </c>
      <c r="D6" s="24">
        <v>10000</v>
      </c>
      <c r="E6" s="24"/>
      <c r="F6" s="24"/>
      <c r="G6" s="24"/>
      <c r="H6" s="19" t="s">
        <v>4</v>
      </c>
    </row>
    <row r="7" spans="2:13" s="20" customFormat="1" ht="18.75" hidden="1" x14ac:dyDescent="0.3">
      <c r="C7" s="25" t="s">
        <v>61</v>
      </c>
      <c r="D7" s="26">
        <f>D6/1.73</f>
        <v>5780.346820809249</v>
      </c>
      <c r="E7" s="26"/>
      <c r="F7" s="26"/>
      <c r="G7" s="26"/>
      <c r="H7" s="19" t="s">
        <v>22</v>
      </c>
    </row>
    <row r="8" spans="2:13" s="20" customFormat="1" ht="18.75" hidden="1" x14ac:dyDescent="0.3">
      <c r="C8" s="25" t="s">
        <v>62</v>
      </c>
      <c r="D8" s="20">
        <v>0</v>
      </c>
      <c r="H8" s="19" t="s">
        <v>3</v>
      </c>
      <c r="J8" s="27">
        <f>D8*(3.1416/180)</f>
        <v>0</v>
      </c>
      <c r="K8" s="28">
        <f>D8</f>
        <v>0</v>
      </c>
      <c r="L8" s="19"/>
    </row>
    <row r="9" spans="2:13" s="20" customFormat="1" ht="18.75" x14ac:dyDescent="0.3">
      <c r="C9" s="29"/>
      <c r="H9" s="19"/>
      <c r="K9" s="19"/>
      <c r="L9" s="19"/>
    </row>
    <row r="10" spans="2:13" s="20" customFormat="1" ht="19.5" thickBot="1" x14ac:dyDescent="0.35">
      <c r="B10" s="95" t="s">
        <v>38</v>
      </c>
      <c r="E10" s="76"/>
      <c r="F10" s="76"/>
      <c r="G10" s="76"/>
      <c r="H10" s="30"/>
      <c r="I10" s="31"/>
      <c r="J10" s="30"/>
      <c r="K10" s="30"/>
      <c r="L10" s="19"/>
      <c r="M10" s="19"/>
    </row>
    <row r="11" spans="2:13" s="20" customFormat="1" ht="18.75" x14ac:dyDescent="0.3">
      <c r="B11" s="79"/>
      <c r="C11" s="79"/>
      <c r="D11" s="80" t="s">
        <v>73</v>
      </c>
      <c r="E11" s="80"/>
      <c r="F11" s="80"/>
      <c r="G11" s="81">
        <v>30</v>
      </c>
      <c r="H11" s="82" t="s">
        <v>23</v>
      </c>
      <c r="I11" s="83" t="s">
        <v>72</v>
      </c>
      <c r="J11" s="82"/>
      <c r="M11" s="32" t="str">
        <f>IF((G11&gt;52.3)*OR(G11&lt;3),"error","")</f>
        <v/>
      </c>
    </row>
    <row r="12" spans="2:13" s="20" customFormat="1" ht="19.5" thickBot="1" x14ac:dyDescent="0.35">
      <c r="B12" s="84"/>
      <c r="C12" s="84"/>
      <c r="D12" s="85" t="s">
        <v>63</v>
      </c>
      <c r="E12" s="85"/>
      <c r="F12" s="85"/>
      <c r="G12" s="86">
        <v>800</v>
      </c>
      <c r="H12" s="87" t="s">
        <v>32</v>
      </c>
      <c r="I12" s="88" t="s">
        <v>36</v>
      </c>
      <c r="J12" s="87"/>
      <c r="M12" s="32"/>
    </row>
    <row r="13" spans="2:13" s="20" customFormat="1" ht="19.5" hidden="1" thickBot="1" x14ac:dyDescent="0.35">
      <c r="B13" s="84"/>
      <c r="C13" s="84"/>
      <c r="D13" s="85" t="s">
        <v>16</v>
      </c>
      <c r="E13" s="85"/>
      <c r="F13" s="85"/>
      <c r="G13" s="89">
        <f>G20/3</f>
        <v>-266666.66666666669</v>
      </c>
      <c r="H13" s="87" t="s">
        <v>0</v>
      </c>
      <c r="I13" s="88"/>
      <c r="J13" s="87"/>
    </row>
    <row r="14" spans="2:13" s="20" customFormat="1" ht="19.5" hidden="1" thickBot="1" x14ac:dyDescent="0.35">
      <c r="B14" s="84"/>
      <c r="C14" s="84"/>
      <c r="D14" s="85" t="s">
        <v>17</v>
      </c>
      <c r="E14" s="85"/>
      <c r="F14" s="85"/>
      <c r="G14" s="89">
        <f>-G13</f>
        <v>266666.66666666669</v>
      </c>
      <c r="H14" s="87" t="s">
        <v>0</v>
      </c>
      <c r="I14" s="88"/>
      <c r="J14" s="87"/>
    </row>
    <row r="15" spans="2:13" s="20" customFormat="1" ht="19.5" hidden="1" thickBot="1" x14ac:dyDescent="0.35">
      <c r="B15" s="84"/>
      <c r="C15" s="84"/>
      <c r="D15" s="85" t="s">
        <v>14</v>
      </c>
      <c r="E15" s="85"/>
      <c r="F15" s="85"/>
      <c r="G15" s="89">
        <f>D4*G11</f>
        <v>6300</v>
      </c>
      <c r="H15" s="87" t="s">
        <v>4</v>
      </c>
      <c r="I15" s="88"/>
      <c r="J15" s="87"/>
    </row>
    <row r="16" spans="2:13" s="20" customFormat="1" ht="19.5" hidden="1" thickBot="1" x14ac:dyDescent="0.35">
      <c r="B16" s="84"/>
      <c r="C16" s="84"/>
      <c r="D16" s="85" t="s">
        <v>15</v>
      </c>
      <c r="E16" s="85"/>
      <c r="F16" s="85"/>
      <c r="G16" s="89">
        <f>(D5*G14)/(D7*G15)</f>
        <v>0.7322751322751323</v>
      </c>
      <c r="H16" s="87"/>
      <c r="I16" s="88"/>
      <c r="J16" s="87"/>
    </row>
    <row r="17" spans="2:13" s="20" customFormat="1" ht="19.5" hidden="1" thickBot="1" x14ac:dyDescent="0.35">
      <c r="B17" s="84"/>
      <c r="C17" s="84"/>
      <c r="D17" s="85" t="s">
        <v>6</v>
      </c>
      <c r="E17" s="85"/>
      <c r="F17" s="85"/>
      <c r="G17" s="89">
        <f>ASIN(G16)</f>
        <v>0.82165680361449789</v>
      </c>
      <c r="H17" s="87" t="s">
        <v>5</v>
      </c>
      <c r="I17" s="88"/>
      <c r="J17" s="87"/>
      <c r="L17" s="19"/>
      <c r="M17" s="19"/>
    </row>
    <row r="18" spans="2:13" s="20" customFormat="1" ht="19.5" hidden="1" thickBot="1" x14ac:dyDescent="0.35">
      <c r="B18" s="84"/>
      <c r="C18" s="84"/>
      <c r="D18" s="85" t="s">
        <v>13</v>
      </c>
      <c r="E18" s="85"/>
      <c r="F18" s="85"/>
      <c r="G18" s="89">
        <f>G15*COS(G17)</f>
        <v>4290.3561105758517</v>
      </c>
      <c r="H18" s="87"/>
      <c r="I18" s="88"/>
      <c r="J18" s="87"/>
    </row>
    <row r="19" spans="2:13" s="20" customFormat="1" ht="19.5" hidden="1" thickBot="1" x14ac:dyDescent="0.35">
      <c r="B19" s="84"/>
      <c r="C19" s="84"/>
      <c r="D19" s="85" t="s">
        <v>12</v>
      </c>
      <c r="E19" s="85"/>
      <c r="F19" s="85"/>
      <c r="G19" s="89">
        <f>G15*SIN(G17)</f>
        <v>4613.3333333333339</v>
      </c>
      <c r="H19" s="87"/>
      <c r="I19" s="88"/>
      <c r="J19" s="87"/>
    </row>
    <row r="20" spans="2:13" s="20" customFormat="1" ht="19.5" hidden="1" thickBot="1" x14ac:dyDescent="0.35">
      <c r="B20" s="84"/>
      <c r="C20" s="84"/>
      <c r="D20" s="85"/>
      <c r="E20" s="85"/>
      <c r="F20" s="85"/>
      <c r="G20" s="86">
        <f>G12*-1000</f>
        <v>-800000</v>
      </c>
      <c r="H20" s="87" t="s">
        <v>24</v>
      </c>
      <c r="I20" s="88"/>
      <c r="J20" s="87"/>
    </row>
    <row r="21" spans="2:13" s="20" customFormat="1" ht="19.5" thickBot="1" x14ac:dyDescent="0.35">
      <c r="B21" s="90"/>
      <c r="C21" s="90"/>
      <c r="D21" s="91" t="s">
        <v>74</v>
      </c>
      <c r="E21" s="91"/>
      <c r="F21" s="91"/>
      <c r="G21" s="92">
        <v>100</v>
      </c>
      <c r="H21" s="93"/>
      <c r="I21" s="94" t="s">
        <v>36</v>
      </c>
      <c r="J21" s="93"/>
      <c r="M21" s="32" t="str">
        <f>IF(G21&lt;0,"should be positive!","")</f>
        <v/>
      </c>
    </row>
    <row r="22" spans="2:13" s="20" customFormat="1" ht="19.5" thickBot="1" x14ac:dyDescent="0.35">
      <c r="B22" s="90"/>
      <c r="C22" s="94"/>
      <c r="D22" s="91" t="s">
        <v>56</v>
      </c>
      <c r="E22" s="91"/>
      <c r="F22" s="91"/>
      <c r="G22" s="92">
        <v>830</v>
      </c>
      <c r="H22" s="93" t="s">
        <v>55</v>
      </c>
      <c r="I22" s="94" t="s">
        <v>36</v>
      </c>
      <c r="J22" s="93"/>
      <c r="K22" s="27">
        <f>IF(G12&gt;G22,G22,G12)</f>
        <v>800</v>
      </c>
      <c r="M22" s="32" t="str">
        <f>IF(G22&lt;0,"should be positive!","")</f>
        <v/>
      </c>
    </row>
    <row r="23" spans="2:13" s="20" customFormat="1" ht="18.75" x14ac:dyDescent="0.3"/>
    <row r="24" spans="2:13" s="20" customFormat="1" ht="19.5" thickBot="1" x14ac:dyDescent="0.35">
      <c r="B24" s="33">
        <f>IMABS(D56)</f>
        <v>48.479806890112762</v>
      </c>
      <c r="C24" s="20" t="s">
        <v>48</v>
      </c>
      <c r="D24" s="34"/>
      <c r="E24" s="34"/>
      <c r="F24" s="34"/>
      <c r="G24" s="34"/>
      <c r="H24" s="34"/>
      <c r="I24" s="35" t="s">
        <v>78</v>
      </c>
    </row>
    <row r="25" spans="2:13" s="20" customFormat="1" ht="18.75" x14ac:dyDescent="0.3">
      <c r="B25" s="36">
        <f>ROUND(B24,1)</f>
        <v>48.5</v>
      </c>
      <c r="C25" s="67" t="s">
        <v>77</v>
      </c>
      <c r="D25" s="68">
        <f>D29</f>
        <v>5780</v>
      </c>
      <c r="E25" s="69" t="s">
        <v>4</v>
      </c>
      <c r="F25" s="70" t="s">
        <v>76</v>
      </c>
      <c r="G25" s="71">
        <f>B31</f>
        <v>0</v>
      </c>
      <c r="H25" s="72" t="s">
        <v>3</v>
      </c>
      <c r="I25" s="37"/>
    </row>
    <row r="26" spans="2:13" s="20" customFormat="1" ht="18.75" x14ac:dyDescent="0.3">
      <c r="B26" s="38">
        <f>IMABS(D50)</f>
        <v>6299.9999999999955</v>
      </c>
      <c r="C26" s="39" t="s">
        <v>67</v>
      </c>
      <c r="D26" s="60">
        <f>B25</f>
        <v>48.5</v>
      </c>
      <c r="E26" s="57" t="s">
        <v>75</v>
      </c>
      <c r="F26" s="63" t="s">
        <v>76</v>
      </c>
      <c r="G26" s="60">
        <f>B37</f>
        <v>17.899999999999999</v>
      </c>
      <c r="H26" s="73" t="s">
        <v>3</v>
      </c>
      <c r="I26" s="40"/>
      <c r="J26" s="32" t="str">
        <f>IF(B24&gt;51.9,"should be &lt;51,9 A","")</f>
        <v/>
      </c>
    </row>
    <row r="27" spans="2:13" s="20" customFormat="1" ht="18.75" x14ac:dyDescent="0.3">
      <c r="B27" s="41">
        <f>ROUND(B26,0)</f>
        <v>6300</v>
      </c>
      <c r="C27" s="42" t="s">
        <v>65</v>
      </c>
      <c r="D27" s="61">
        <f>B27</f>
        <v>6300</v>
      </c>
      <c r="E27" s="58" t="s">
        <v>4</v>
      </c>
      <c r="F27" s="64" t="s">
        <v>76</v>
      </c>
      <c r="G27" s="74">
        <f>B39</f>
        <v>47.1</v>
      </c>
      <c r="H27" s="75" t="s">
        <v>3</v>
      </c>
      <c r="I27" s="40" t="s">
        <v>64</v>
      </c>
      <c r="J27" s="32" t="str">
        <f>IF(B38&gt;70,"load angle should be &lt;70 degr.","")</f>
        <v/>
      </c>
    </row>
    <row r="28" spans="2:13" s="20" customFormat="1" ht="19.5" thickBot="1" x14ac:dyDescent="0.35">
      <c r="B28" s="33">
        <f>IMABS(D62)</f>
        <v>48.479806890112762</v>
      </c>
      <c r="C28" s="43" t="s">
        <v>66</v>
      </c>
      <c r="D28" s="62">
        <f>B29</f>
        <v>48.5</v>
      </c>
      <c r="E28" s="59" t="s">
        <v>75</v>
      </c>
      <c r="F28" s="65" t="s">
        <v>76</v>
      </c>
      <c r="G28" s="62">
        <f>B41</f>
        <v>-162.19999999999999</v>
      </c>
      <c r="H28" s="66" t="s">
        <v>3</v>
      </c>
      <c r="I28" s="44"/>
    </row>
    <row r="29" spans="2:13" x14ac:dyDescent="0.25">
      <c r="B29" s="13">
        <f>ROUND(B28,1)</f>
        <v>48.5</v>
      </c>
      <c r="C29" s="14">
        <f>D7</f>
        <v>5780.346820809249</v>
      </c>
      <c r="D29" s="11">
        <f>ROUND((C29),0)</f>
        <v>5780</v>
      </c>
      <c r="E29" s="11"/>
      <c r="F29" s="11"/>
      <c r="G29" s="11"/>
    </row>
    <row r="30" spans="2:13" hidden="1" x14ac:dyDescent="0.25">
      <c r="B30" s="7">
        <v>0</v>
      </c>
    </row>
    <row r="31" spans="2:13" hidden="1" x14ac:dyDescent="0.25">
      <c r="B31" s="13">
        <f>ROUND(B30,1)</f>
        <v>0</v>
      </c>
    </row>
    <row r="32" spans="2:13" hidden="1" x14ac:dyDescent="0.25">
      <c r="B32" s="2"/>
      <c r="C32" s="3" t="s">
        <v>30</v>
      </c>
      <c r="D32" s="4">
        <f>-3*G15*D55*SIN(G17-D54)</f>
        <v>-446707.61088280001</v>
      </c>
      <c r="E32" s="4"/>
      <c r="F32" s="4"/>
      <c r="G32" s="4"/>
      <c r="H32" t="s">
        <v>25</v>
      </c>
    </row>
    <row r="33" spans="2:25" hidden="1" x14ac:dyDescent="0.25">
      <c r="B33" s="2"/>
      <c r="C33" s="3" t="s">
        <v>10</v>
      </c>
      <c r="D33" s="4">
        <f>3*D55*D55*D5</f>
        <v>705087.50283078791</v>
      </c>
      <c r="E33" s="4"/>
      <c r="F33" s="4"/>
      <c r="G33" s="4"/>
      <c r="H33" t="s">
        <v>25</v>
      </c>
    </row>
    <row r="34" spans="2:25" x14ac:dyDescent="0.25">
      <c r="B34" s="2"/>
      <c r="C34" s="3"/>
      <c r="D34" s="4"/>
      <c r="E34" s="4"/>
      <c r="F34" s="4"/>
      <c r="G34" s="4"/>
    </row>
    <row r="35" spans="2:25" x14ac:dyDescent="0.25">
      <c r="B35" s="2"/>
      <c r="C35" s="3"/>
      <c r="D35" s="4"/>
      <c r="E35" s="4"/>
      <c r="F35" s="4"/>
      <c r="G35" s="4"/>
    </row>
    <row r="36" spans="2:25" x14ac:dyDescent="0.25">
      <c r="B36" s="7">
        <f>J54*180/3.14</f>
        <v>17.908231225188814</v>
      </c>
    </row>
    <row r="37" spans="2:25" x14ac:dyDescent="0.25">
      <c r="B37" s="13">
        <f>ROUND(B36,1)</f>
        <v>17.899999999999999</v>
      </c>
      <c r="D37" s="6" t="s">
        <v>18</v>
      </c>
      <c r="E37" s="6"/>
      <c r="F37" s="6"/>
      <c r="G37" s="6"/>
      <c r="H37" s="6" t="s">
        <v>19</v>
      </c>
    </row>
    <row r="38" spans="2:25" x14ac:dyDescent="0.25">
      <c r="B38" s="7">
        <f>J50*180/3.14</f>
        <v>47.101345430130444</v>
      </c>
      <c r="D38" s="7" t="e">
        <f>IMREAL(L49)</f>
        <v>#NUM!</v>
      </c>
      <c r="E38" s="7"/>
      <c r="F38" s="7"/>
      <c r="G38" s="7"/>
      <c r="H38" s="7" t="e">
        <f>IMAGINARY(L49)</f>
        <v>#NUM!</v>
      </c>
    </row>
    <row r="39" spans="2:25" x14ac:dyDescent="0.25">
      <c r="B39" s="13">
        <f>ROUND(B38,1)</f>
        <v>47.1</v>
      </c>
      <c r="D39" s="7">
        <f>IMREAL(L54)</f>
        <v>-14.899907102334</v>
      </c>
      <c r="E39" s="7"/>
      <c r="F39" s="7"/>
      <c r="G39" s="7"/>
      <c r="H39" s="7">
        <f>IMAGINARY(L54)</f>
        <v>46.133333333333297</v>
      </c>
    </row>
    <row r="40" spans="2:25" x14ac:dyDescent="0.25">
      <c r="B40" s="7">
        <f>J62*180/3.14</f>
        <v>-162.18306738823881</v>
      </c>
      <c r="D40" s="7">
        <f>IMREAL(L50)</f>
        <v>-4613.3333333333303</v>
      </c>
      <c r="E40" s="7"/>
      <c r="F40" s="7"/>
      <c r="G40" s="7"/>
      <c r="H40" s="7">
        <f>IMAGINARY(L50)</f>
        <v>4290.3561105758499</v>
      </c>
    </row>
    <row r="41" spans="2:25" x14ac:dyDescent="0.25">
      <c r="B41" s="13">
        <f>ROUND(B40,1)</f>
        <v>-162.19999999999999</v>
      </c>
      <c r="D41" s="7">
        <f>IMREAL(L61)</f>
        <v>14.899907102334</v>
      </c>
      <c r="E41" s="7"/>
      <c r="F41" s="7"/>
      <c r="G41" s="7"/>
      <c r="H41" s="7">
        <f>IMAGINARY(L61)</f>
        <v>-46.133333333333297</v>
      </c>
      <c r="M41" s="2">
        <f>IMREAL(D64)</f>
        <v>0</v>
      </c>
      <c r="N41" s="2">
        <f>IMAGINARY(D64)</f>
        <v>0</v>
      </c>
    </row>
    <row r="42" spans="2:25" x14ac:dyDescent="0.25">
      <c r="B42" s="8" t="s">
        <v>3</v>
      </c>
    </row>
    <row r="45" spans="2:25" x14ac:dyDescent="0.25">
      <c r="J45" s="18"/>
    </row>
    <row r="48" spans="2:25" x14ac:dyDescent="0.25">
      <c r="C48" s="2"/>
      <c r="D48" s="2">
        <f>IMREAL(C65)</f>
        <v>0</v>
      </c>
      <c r="E48" s="2"/>
      <c r="F48" s="2"/>
      <c r="G48" s="2"/>
      <c r="H48" s="2">
        <f>IMAGINARY(C65)</f>
        <v>5780.3468208092499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2:25" x14ac:dyDescent="0.25">
      <c r="C49" s="2" t="s">
        <v>43</v>
      </c>
      <c r="D49" s="11" t="str">
        <f>COMPLEX(C29,0)</f>
        <v>5780,34682080925</v>
      </c>
      <c r="E49" s="11"/>
      <c r="F49" s="11"/>
      <c r="G49" s="11"/>
      <c r="H49" s="8" t="s">
        <v>4</v>
      </c>
      <c r="I49" s="2"/>
      <c r="J49" s="2">
        <f>IMAGINARY(D49)</f>
        <v>0</v>
      </c>
      <c r="K49" s="2">
        <f>J49*180/3.14</f>
        <v>0</v>
      </c>
      <c r="L49" s="1" t="e">
        <f>IMPRODUCT(D57,D65)</f>
        <v>#NUM!</v>
      </c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2:25" hidden="1" x14ac:dyDescent="0.25">
      <c r="C50" s="8" t="e" cm="1">
        <f t="array" ref="C50">if</f>
        <v>#NAME?</v>
      </c>
      <c r="D50" s="2" t="str">
        <f>COMPLEX(G18,G19)</f>
        <v>4290,35611057585+4613,33333333333i</v>
      </c>
      <c r="E50" s="2"/>
      <c r="F50" s="2"/>
      <c r="G50" s="2"/>
      <c r="H50" s="2"/>
      <c r="I50" s="2"/>
      <c r="J50" s="1">
        <f>IMARGUMENT(D50)</f>
        <v>0.82165680361449778</v>
      </c>
      <c r="K50" s="1"/>
      <c r="L50" s="1" t="str">
        <f>IMPRODUCT(D65,D50)</f>
        <v>-4613,33333333333+4290,35611057585i</v>
      </c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2:25" x14ac:dyDescent="0.25">
      <c r="C51" s="8" t="s">
        <v>11</v>
      </c>
      <c r="D51" s="2">
        <f>D7-G18</f>
        <v>1489.9907102333973</v>
      </c>
      <c r="E51" s="2"/>
      <c r="F51" s="2"/>
      <c r="G51" s="2"/>
      <c r="H51" s="2"/>
      <c r="I51" s="2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2:25" x14ac:dyDescent="0.25">
      <c r="C52" s="8" t="s">
        <v>9</v>
      </c>
      <c r="D52" s="2">
        <f>D51/D5</f>
        <v>14.899907102333973</v>
      </c>
      <c r="E52" s="2"/>
      <c r="F52" s="2"/>
      <c r="G52" s="2"/>
      <c r="H52" s="2"/>
      <c r="I52" s="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2:25" x14ac:dyDescent="0.25">
      <c r="C53" s="8"/>
      <c r="D53" s="2">
        <f>G14/D7</f>
        <v>46.133333333333333</v>
      </c>
      <c r="E53" s="2"/>
      <c r="F53" s="2"/>
      <c r="G53" s="2"/>
      <c r="H53" s="2"/>
      <c r="I53" s="2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2:25" ht="15.75" hidden="1" thickBot="1" x14ac:dyDescent="0.3">
      <c r="C54" s="2" t="s">
        <v>8</v>
      </c>
      <c r="D54" s="2">
        <f>ATAN(D52/D53)</f>
        <v>0.31239914470607077</v>
      </c>
      <c r="E54" s="2"/>
      <c r="F54" s="2"/>
      <c r="G54" s="2"/>
      <c r="H54" s="2"/>
      <c r="I54" s="2"/>
      <c r="J54" s="1">
        <f>IMARGUMENT(D56)</f>
        <v>0.31239914470607155</v>
      </c>
      <c r="K54" s="1"/>
      <c r="L54" s="1" t="str">
        <f>IMPRODUCT(D65,D56)</f>
        <v>-14,899907102334+46,1333333333333i</v>
      </c>
      <c r="M54" s="1"/>
      <c r="N54" s="1"/>
      <c r="O54" s="1">
        <f>G21*D39</f>
        <v>-1489.9907102334</v>
      </c>
      <c r="P54" s="1">
        <f>G21*H39</f>
        <v>4613.3333333333294</v>
      </c>
      <c r="Q54" s="1"/>
      <c r="R54" s="1"/>
      <c r="S54" s="1"/>
      <c r="T54" s="1"/>
      <c r="U54" s="1"/>
      <c r="V54" s="1"/>
      <c r="W54" s="1"/>
      <c r="X54" s="1"/>
      <c r="Y54" s="1"/>
    </row>
    <row r="55" spans="2:25" x14ac:dyDescent="0.25">
      <c r="C55" s="2" t="s">
        <v>7</v>
      </c>
      <c r="D55" s="2">
        <f>D53/COS(D54)</f>
        <v>48.479806890112776</v>
      </c>
      <c r="E55" s="2"/>
      <c r="F55" s="2"/>
      <c r="G55" s="2"/>
      <c r="H55" s="2"/>
      <c r="S55" s="1"/>
    </row>
    <row r="56" spans="2:25" ht="15.75" thickBot="1" x14ac:dyDescent="0.3">
      <c r="C56" s="2" t="s">
        <v>35</v>
      </c>
      <c r="D56" s="2" t="str">
        <f>COMPLEX(D53,D52)</f>
        <v>46,1333333333333+14,899907102334i</v>
      </c>
      <c r="E56" s="2"/>
      <c r="F56" s="2"/>
      <c r="G56" s="2"/>
      <c r="H56" s="2"/>
      <c r="S56" s="1"/>
    </row>
    <row r="57" spans="2:25" ht="21" x14ac:dyDescent="0.35">
      <c r="D57" s="2" t="s">
        <v>39</v>
      </c>
      <c r="E57" s="2"/>
      <c r="F57" s="2"/>
      <c r="G57" s="2"/>
      <c r="H57" s="2"/>
      <c r="I57" s="2"/>
      <c r="J57" s="2"/>
      <c r="K57" s="2"/>
      <c r="L57" s="2"/>
      <c r="M57" s="2"/>
      <c r="N57" s="51"/>
      <c r="O57" s="52" t="s">
        <v>69</v>
      </c>
      <c r="P57" s="45">
        <f>3*D7*D55*COS(-D54)/1000</f>
        <v>800</v>
      </c>
      <c r="Q57" s="46" t="s">
        <v>32</v>
      </c>
      <c r="R57" s="78" t="str">
        <f>IF(P57&gt;K22,"too much","")</f>
        <v/>
      </c>
      <c r="S57" s="77"/>
    </row>
    <row r="58" spans="2:25" ht="21" x14ac:dyDescent="0.35">
      <c r="C58" s="12" t="s">
        <v>68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53"/>
      <c r="O58" s="49" t="s">
        <v>70</v>
      </c>
      <c r="P58" s="50">
        <f>3*D7*D55*SIN(-D54)/1000</f>
        <v>-258.37989194798797</v>
      </c>
      <c r="Q58" s="54" t="s">
        <v>34</v>
      </c>
      <c r="R58" s="78" t="str">
        <f>IF(P58&lt;0,"capacitive","inductive")</f>
        <v>capacitive</v>
      </c>
    </row>
    <row r="59" spans="2:25" ht="21.75" thickBot="1" x14ac:dyDescent="0.4">
      <c r="C59" s="5" t="s">
        <v>40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55"/>
      <c r="O59" s="56" t="s">
        <v>71</v>
      </c>
      <c r="P59" s="47">
        <f>SQRT(P57*P57+P58*P58)</f>
        <v>840.69029289212915</v>
      </c>
      <c r="Q59" s="48" t="s">
        <v>37</v>
      </c>
      <c r="R59" s="78" t="str">
        <f>IF(P59&gt;900,"too much","")</f>
        <v/>
      </c>
    </row>
    <row r="60" spans="2:25" s="5" customFormat="1" x14ac:dyDescent="0.25">
      <c r="C60" s="10" t="s">
        <v>41</v>
      </c>
    </row>
    <row r="61" spans="2:25" s="5" customFormat="1" x14ac:dyDescent="0.25">
      <c r="C61" s="1" t="s">
        <v>42</v>
      </c>
      <c r="K61" s="2"/>
      <c r="L61" s="2" t="str">
        <f>IMPRODUCT(D65,D62)</f>
        <v>14,899907102334-46,1333333333333i</v>
      </c>
      <c r="M61" s="2"/>
      <c r="N61" s="2"/>
      <c r="O61" s="2">
        <f>G21*D41</f>
        <v>1489.9907102334</v>
      </c>
      <c r="P61" s="2">
        <f>G21*H41</f>
        <v>-4613.3333333333294</v>
      </c>
    </row>
    <row r="62" spans="2:25" x14ac:dyDescent="0.25">
      <c r="B62" s="2"/>
      <c r="C62" s="2"/>
      <c r="D62" s="2" t="str">
        <f>IMSUB(D64,D56)</f>
        <v>-46,1333333333333-14,899907102334i</v>
      </c>
      <c r="E62" s="2"/>
      <c r="F62" s="2"/>
      <c r="G62" s="2"/>
      <c r="H62" s="2"/>
      <c r="I62" s="2"/>
      <c r="J62" s="2">
        <f>IMARGUMENT(D62)</f>
        <v>-2.8291935088837215</v>
      </c>
      <c r="K62" s="2"/>
      <c r="L62" s="2"/>
      <c r="M62" s="2" t="s">
        <v>49</v>
      </c>
      <c r="N62" s="2" t="s">
        <v>50</v>
      </c>
      <c r="O62" s="2" t="s">
        <v>5</v>
      </c>
      <c r="P62" s="2" t="s">
        <v>51</v>
      </c>
      <c r="Q62" s="2" t="s">
        <v>52</v>
      </c>
      <c r="R62" s="2" t="s">
        <v>53</v>
      </c>
      <c r="S62" s="2" t="s">
        <v>54</v>
      </c>
      <c r="T62" s="2" t="s">
        <v>57</v>
      </c>
      <c r="U62" s="2" t="s">
        <v>5</v>
      </c>
      <c r="V62" s="2" t="s">
        <v>53</v>
      </c>
      <c r="W62" s="2" t="s">
        <v>51</v>
      </c>
      <c r="X62" s="2" t="s">
        <v>52</v>
      </c>
      <c r="Y62" s="2"/>
    </row>
    <row r="63" spans="2:25" x14ac:dyDescent="0.25">
      <c r="B63" s="2"/>
      <c r="C63" s="2" t="str">
        <f>COMPLEX(0,0)</f>
        <v>0</v>
      </c>
      <c r="D63" s="16">
        <f>IMREAL(C63)</f>
        <v>0</v>
      </c>
      <c r="E63" s="16"/>
      <c r="F63" s="16"/>
      <c r="G63" s="16"/>
      <c r="H63" s="16">
        <f>IMAGINARY(C63)</f>
        <v>0</v>
      </c>
      <c r="I63" s="2" t="s">
        <v>26</v>
      </c>
      <c r="J63" s="2"/>
      <c r="K63" s="2"/>
      <c r="L63" s="2"/>
      <c r="M63" s="17">
        <v>5200</v>
      </c>
      <c r="N63" s="2">
        <v>0</v>
      </c>
      <c r="O63" s="2">
        <f>N63*3.1415/180</f>
        <v>0</v>
      </c>
      <c r="P63" s="2">
        <f>M63*COS(O63)</f>
        <v>5200</v>
      </c>
      <c r="Q63" s="2">
        <f>M63*SIN(O63)</f>
        <v>0</v>
      </c>
      <c r="R63" s="2">
        <f t="shared" ref="R63:R81" si="0">IF(Q63&gt;S63,S63,Q63)</f>
        <v>0</v>
      </c>
      <c r="S63" s="2">
        <f>5.8*G22</f>
        <v>4814</v>
      </c>
      <c r="T63" s="13">
        <f>B39</f>
        <v>47.1</v>
      </c>
      <c r="U63" s="2">
        <f>T63*3.1415/180</f>
        <v>0.82202583333333334</v>
      </c>
      <c r="V63" s="2">
        <f>IF(N63&gt;T63,U63,O63)</f>
        <v>0</v>
      </c>
      <c r="W63" s="2">
        <f>1000*COS(V63)-5780</f>
        <v>-4780</v>
      </c>
      <c r="X63" s="2">
        <f>1000*SIN(V63)</f>
        <v>0</v>
      </c>
      <c r="Y63" s="2"/>
    </row>
    <row r="64" spans="2:25" x14ac:dyDescent="0.25">
      <c r="B64" s="2"/>
      <c r="C64" s="2" t="str">
        <f>COMPLEX(0,1)</f>
        <v>i</v>
      </c>
      <c r="D64" s="2" t="str">
        <f>COMPLEX(0,0)</f>
        <v>0</v>
      </c>
      <c r="E64" s="2"/>
      <c r="F64" s="2"/>
      <c r="G64" s="2"/>
      <c r="H64" s="2">
        <f>IMREAL(D64)</f>
        <v>0</v>
      </c>
      <c r="I64" s="2">
        <f>IMAGINARY(D64)</f>
        <v>0</v>
      </c>
      <c r="J64" s="2"/>
      <c r="K64" s="2"/>
      <c r="L64" s="2"/>
      <c r="M64" s="17">
        <f>M63</f>
        <v>5200</v>
      </c>
      <c r="N64" s="2">
        <f>N63+5</f>
        <v>5</v>
      </c>
      <c r="O64" s="2">
        <f>N64*3.1415/180</f>
        <v>8.7263888888888891E-2</v>
      </c>
      <c r="P64" s="2">
        <f t="shared" ref="P64:P81" si="1">M64*COS(O64)</f>
        <v>5180.2135964910494</v>
      </c>
      <c r="Q64" s="2">
        <f t="shared" ref="Q64:Q81" si="2">M64*SIN(O64)</f>
        <v>453.19652991750098</v>
      </c>
      <c r="R64" s="2">
        <f t="shared" si="0"/>
        <v>453.19652991750098</v>
      </c>
      <c r="S64" s="2">
        <f>S63</f>
        <v>4814</v>
      </c>
      <c r="T64" s="13">
        <f>T63</f>
        <v>47.1</v>
      </c>
      <c r="U64" s="2">
        <f t="shared" ref="U64:U99" si="3">T64*3.1415/180</f>
        <v>0.82202583333333334</v>
      </c>
      <c r="V64" s="2">
        <f t="shared" ref="V64:V99" si="4">IF(N64&gt;T64,U64,O64)</f>
        <v>8.7263888888888891E-2</v>
      </c>
      <c r="W64" s="2">
        <f t="shared" ref="W64:W99" si="5">1000*COS(V64)-5780</f>
        <v>-4783.8050775978754</v>
      </c>
      <c r="X64" s="2">
        <f t="shared" ref="X64:X99" si="6">1000*SIN(V64)</f>
        <v>87.153178830288653</v>
      </c>
      <c r="Y64" s="2"/>
    </row>
    <row r="65" spans="2:25" x14ac:dyDescent="0.25">
      <c r="B65" s="2"/>
      <c r="C65" s="8" t="str">
        <f>IMPRODUCT(C64,D49)</f>
        <v>5780,34682080925i</v>
      </c>
      <c r="D65" s="2" t="str">
        <f>COMPLEX(0,1)</f>
        <v>i</v>
      </c>
      <c r="E65" s="2"/>
      <c r="F65" s="2"/>
      <c r="G65" s="2"/>
      <c r="H65" s="2"/>
      <c r="I65" s="2"/>
      <c r="J65" s="2"/>
      <c r="K65" s="2"/>
      <c r="L65" s="2"/>
      <c r="M65" s="17">
        <f t="shared" ref="M65:M81" si="7">M64</f>
        <v>5200</v>
      </c>
      <c r="N65" s="2">
        <f t="shared" ref="N65:N81" si="8">N64+5</f>
        <v>10</v>
      </c>
      <c r="O65" s="2">
        <f t="shared" ref="O65:O99" si="9">N65*3.1415/180</f>
        <v>0.17452777777777778</v>
      </c>
      <c r="P65" s="2">
        <f t="shared" si="1"/>
        <v>5121.0049635656678</v>
      </c>
      <c r="Q65" s="2">
        <f t="shared" si="2"/>
        <v>902.94416390815434</v>
      </c>
      <c r="R65" s="2">
        <f t="shared" si="0"/>
        <v>902.94416390815434</v>
      </c>
      <c r="S65" s="2">
        <f t="shared" ref="S65:T81" si="10">S64</f>
        <v>4814</v>
      </c>
      <c r="T65" s="13">
        <f t="shared" si="10"/>
        <v>47.1</v>
      </c>
      <c r="U65" s="2">
        <f t="shared" si="3"/>
        <v>0.82202583333333334</v>
      </c>
      <c r="V65" s="2">
        <f t="shared" si="4"/>
        <v>0.17452777777777778</v>
      </c>
      <c r="W65" s="2">
        <f t="shared" si="5"/>
        <v>-4795.1913531604487</v>
      </c>
      <c r="X65" s="2">
        <f t="shared" si="6"/>
        <v>173.64310844387583</v>
      </c>
      <c r="Y65" s="2"/>
    </row>
    <row r="66" spans="2:25" x14ac:dyDescent="0.25">
      <c r="B66" s="2"/>
      <c r="C66" s="2" t="s">
        <v>58</v>
      </c>
      <c r="D66" s="2" t="str">
        <f>COMPLEX(-D7,0)</f>
        <v>-5780,34682080925</v>
      </c>
      <c r="E66" s="2"/>
      <c r="F66" s="2"/>
      <c r="G66" s="2"/>
      <c r="H66" s="2">
        <f>IMREAL(D66)</f>
        <v>-5780.3468208092499</v>
      </c>
      <c r="I66" s="2">
        <f>IMAGINARY(D66)</f>
        <v>0</v>
      </c>
      <c r="J66" s="2"/>
      <c r="K66" s="2"/>
      <c r="L66" s="2"/>
      <c r="M66" s="17">
        <f t="shared" si="7"/>
        <v>5200</v>
      </c>
      <c r="N66" s="2">
        <f t="shared" si="8"/>
        <v>15</v>
      </c>
      <c r="O66" s="2">
        <f t="shared" si="9"/>
        <v>0.2617916666666667</v>
      </c>
      <c r="P66" s="2">
        <f t="shared" si="1"/>
        <v>5022.8246881093437</v>
      </c>
      <c r="Q66" s="2">
        <f t="shared" si="2"/>
        <v>1345.82025267837</v>
      </c>
      <c r="R66" s="2">
        <f t="shared" si="0"/>
        <v>1345.82025267837</v>
      </c>
      <c r="S66" s="2">
        <f t="shared" si="10"/>
        <v>4814</v>
      </c>
      <c r="T66" s="13">
        <f t="shared" si="10"/>
        <v>47.1</v>
      </c>
      <c r="U66" s="2">
        <f t="shared" si="3"/>
        <v>0.82202583333333334</v>
      </c>
      <c r="V66" s="2">
        <f t="shared" si="4"/>
        <v>0.2617916666666667</v>
      </c>
      <c r="W66" s="2">
        <f t="shared" si="5"/>
        <v>-4814.072175363588</v>
      </c>
      <c r="X66" s="2">
        <f t="shared" si="6"/>
        <v>258.81158705353266</v>
      </c>
      <c r="Y66" s="2"/>
    </row>
    <row r="67" spans="2:25" x14ac:dyDescent="0.25">
      <c r="B67" s="2"/>
      <c r="C67" s="2" t="s">
        <v>59</v>
      </c>
      <c r="D67" s="2" t="str">
        <f>IMPRODUCT(D56,D68)</f>
        <v>-1489,9907102334+4613,33333333333i</v>
      </c>
      <c r="E67" s="2"/>
      <c r="F67" s="2"/>
      <c r="G67" s="2"/>
      <c r="H67" s="2">
        <f>IMREAL(D67)</f>
        <v>-1489.9907102334</v>
      </c>
      <c r="I67" s="2">
        <f>IMAGINARY(D67)</f>
        <v>4613.3333333333303</v>
      </c>
      <c r="J67" s="2"/>
      <c r="K67" s="2"/>
      <c r="L67" s="2"/>
      <c r="M67" s="17">
        <f t="shared" si="7"/>
        <v>5200</v>
      </c>
      <c r="N67" s="2">
        <f t="shared" si="8"/>
        <v>20</v>
      </c>
      <c r="O67" s="2">
        <f t="shared" si="9"/>
        <v>0.34905555555555556</v>
      </c>
      <c r="P67" s="2">
        <f t="shared" si="1"/>
        <v>4886.4199372554631</v>
      </c>
      <c r="Q67" s="2">
        <f t="shared" si="2"/>
        <v>1778.4544404601193</v>
      </c>
      <c r="R67" s="2">
        <f t="shared" si="0"/>
        <v>1778.4544404601193</v>
      </c>
      <c r="S67" s="2">
        <f t="shared" si="10"/>
        <v>4814</v>
      </c>
      <c r="T67" s="13">
        <f t="shared" si="10"/>
        <v>47.1</v>
      </c>
      <c r="U67" s="2">
        <f t="shared" si="3"/>
        <v>0.82202583333333334</v>
      </c>
      <c r="V67" s="2">
        <f t="shared" si="4"/>
        <v>0.34905555555555556</v>
      </c>
      <c r="W67" s="2">
        <f t="shared" si="5"/>
        <v>-4840.3038582201034</v>
      </c>
      <c r="X67" s="2">
        <f t="shared" si="6"/>
        <v>342.01046931925373</v>
      </c>
      <c r="Y67" s="2"/>
    </row>
    <row r="68" spans="2:25" x14ac:dyDescent="0.25">
      <c r="B68" s="2"/>
      <c r="C68" s="2" t="s">
        <v>27</v>
      </c>
      <c r="D68" s="2" t="str">
        <f>COMPLEX(0,D5)</f>
        <v>100i</v>
      </c>
      <c r="E68" s="2"/>
      <c r="F68" s="2"/>
      <c r="G68" s="2"/>
      <c r="H68" s="2"/>
      <c r="I68" s="2"/>
      <c r="J68" s="2"/>
      <c r="K68" s="2"/>
      <c r="L68" s="2"/>
      <c r="M68" s="17">
        <f t="shared" si="7"/>
        <v>5200</v>
      </c>
      <c r="N68" s="2">
        <f t="shared" si="8"/>
        <v>25</v>
      </c>
      <c r="O68" s="2">
        <f t="shared" si="9"/>
        <v>0.43631944444444448</v>
      </c>
      <c r="P68" s="2">
        <f t="shared" si="1"/>
        <v>4712.8287723274607</v>
      </c>
      <c r="Q68" s="2">
        <f t="shared" si="2"/>
        <v>2197.5543139413967</v>
      </c>
      <c r="R68" s="2">
        <f t="shared" si="0"/>
        <v>2197.5543139413967</v>
      </c>
      <c r="S68" s="2">
        <f t="shared" si="10"/>
        <v>4814</v>
      </c>
      <c r="T68" s="13">
        <f t="shared" si="10"/>
        <v>47.1</v>
      </c>
      <c r="U68" s="2">
        <f t="shared" si="3"/>
        <v>0.82202583333333334</v>
      </c>
      <c r="V68" s="2">
        <f t="shared" si="4"/>
        <v>0.43631944444444448</v>
      </c>
      <c r="W68" s="2">
        <f t="shared" si="5"/>
        <v>-4873.6867745524114</v>
      </c>
      <c r="X68" s="2">
        <f t="shared" si="6"/>
        <v>422.60659883488393</v>
      </c>
      <c r="Y68" s="2"/>
    </row>
    <row r="69" spans="2:25" x14ac:dyDescent="0.25">
      <c r="B69" s="2"/>
      <c r="C69" s="2" t="s">
        <v>60</v>
      </c>
      <c r="D69" s="2" t="str">
        <f>IMSUM(D67,D66)</f>
        <v>-7270,33753104265+4613,33333333333i</v>
      </c>
      <c r="E69" s="2"/>
      <c r="F69" s="2"/>
      <c r="G69" s="2"/>
      <c r="H69" s="2">
        <f>IMREAL(D69)</f>
        <v>-7270.33753104265</v>
      </c>
      <c r="I69" s="2">
        <f>IMAGINARY(D69)</f>
        <v>4613.3333333333303</v>
      </c>
      <c r="J69" s="2"/>
      <c r="K69" s="2"/>
      <c r="L69" s="2"/>
      <c r="M69" s="17">
        <f t="shared" si="7"/>
        <v>5200</v>
      </c>
      <c r="N69" s="2">
        <f t="shared" si="8"/>
        <v>30</v>
      </c>
      <c r="O69" s="2">
        <f t="shared" si="9"/>
        <v>0.5235833333333334</v>
      </c>
      <c r="P69" s="2">
        <f t="shared" si="1"/>
        <v>4503.3722490310493</v>
      </c>
      <c r="Q69" s="2">
        <f t="shared" si="2"/>
        <v>2599.9304580424891</v>
      </c>
      <c r="R69" s="2">
        <f t="shared" si="0"/>
        <v>2599.9304580424891</v>
      </c>
      <c r="S69" s="2">
        <f t="shared" si="10"/>
        <v>4814</v>
      </c>
      <c r="T69" s="13">
        <f t="shared" si="10"/>
        <v>47.1</v>
      </c>
      <c r="U69" s="2">
        <f t="shared" si="3"/>
        <v>0.82202583333333334</v>
      </c>
      <c r="V69" s="2">
        <f t="shared" si="4"/>
        <v>0.5235833333333334</v>
      </c>
      <c r="W69" s="2">
        <f t="shared" si="5"/>
        <v>-4913.9668751863364</v>
      </c>
      <c r="X69" s="2">
        <f t="shared" si="6"/>
        <v>499.98662654663258</v>
      </c>
      <c r="Y69" s="2"/>
    </row>
    <row r="70" spans="2:25" x14ac:dyDescent="0.25">
      <c r="B70" s="2"/>
      <c r="C70" s="2" t="s">
        <v>28</v>
      </c>
      <c r="D70" s="2" t="str">
        <f>COMPLEX(0,P57)</f>
        <v>800i</v>
      </c>
      <c r="E70" s="2"/>
      <c r="F70" s="2"/>
      <c r="G70" s="2"/>
      <c r="H70" s="2">
        <f>IMREAL(D70)</f>
        <v>0</v>
      </c>
      <c r="I70" s="2">
        <f>IMAGINARY(D70)</f>
        <v>800</v>
      </c>
      <c r="J70" s="2"/>
      <c r="K70" s="2"/>
      <c r="L70" s="2"/>
      <c r="M70" s="17">
        <f t="shared" si="7"/>
        <v>5200</v>
      </c>
      <c r="N70" s="2">
        <f t="shared" si="8"/>
        <v>35</v>
      </c>
      <c r="O70" s="2">
        <f t="shared" si="9"/>
        <v>0.61084722222222221</v>
      </c>
      <c r="P70" s="2">
        <f t="shared" si="1"/>
        <v>4259.6443640152784</v>
      </c>
      <c r="Q70" s="2">
        <f t="shared" si="2"/>
        <v>2982.5207278597209</v>
      </c>
      <c r="R70" s="2">
        <f t="shared" si="0"/>
        <v>2982.5207278597209</v>
      </c>
      <c r="S70" s="2">
        <f t="shared" si="10"/>
        <v>4814</v>
      </c>
      <c r="T70" s="13">
        <f t="shared" si="10"/>
        <v>47.1</v>
      </c>
      <c r="U70" s="2">
        <f t="shared" si="3"/>
        <v>0.82202583333333334</v>
      </c>
      <c r="V70" s="2">
        <f t="shared" si="4"/>
        <v>0.61084722222222221</v>
      </c>
      <c r="W70" s="2">
        <f t="shared" si="5"/>
        <v>-4960.8376223047544</v>
      </c>
      <c r="X70" s="2">
        <f t="shared" si="6"/>
        <v>573.56167843456171</v>
      </c>
      <c r="Y70" s="2"/>
    </row>
    <row r="71" spans="2:25" x14ac:dyDescent="0.25">
      <c r="B71" s="2"/>
      <c r="C71" s="2" t="s">
        <v>29</v>
      </c>
      <c r="D71" s="2" t="str">
        <f>COMPLEX(P58,0)</f>
        <v>-258,379891947988</v>
      </c>
      <c r="E71" s="2"/>
      <c r="F71" s="2"/>
      <c r="G71" s="2"/>
      <c r="H71" s="2">
        <f>IMREAL(D71)</f>
        <v>-258.37989194798803</v>
      </c>
      <c r="I71" s="2">
        <f>IMAGINARY(D71)</f>
        <v>0</v>
      </c>
      <c r="J71" s="2"/>
      <c r="K71" s="2"/>
      <c r="L71" s="2"/>
      <c r="M71" s="17">
        <f t="shared" si="7"/>
        <v>5200</v>
      </c>
      <c r="N71" s="2">
        <f t="shared" si="8"/>
        <v>40</v>
      </c>
      <c r="O71" s="2">
        <f t="shared" si="9"/>
        <v>0.69811111111111113</v>
      </c>
      <c r="P71" s="2">
        <f t="shared" si="1"/>
        <v>3983.4999243106477</v>
      </c>
      <c r="Q71" s="2">
        <f t="shared" si="2"/>
        <v>3342.4135520633986</v>
      </c>
      <c r="R71" s="2">
        <f t="shared" si="0"/>
        <v>3342.4135520633986</v>
      </c>
      <c r="S71" s="2">
        <f t="shared" si="10"/>
        <v>4814</v>
      </c>
      <c r="T71" s="13">
        <f t="shared" si="10"/>
        <v>47.1</v>
      </c>
      <c r="U71" s="2">
        <f t="shared" si="3"/>
        <v>0.82202583333333334</v>
      </c>
      <c r="V71" s="2">
        <f t="shared" si="4"/>
        <v>0.69811111111111113</v>
      </c>
      <c r="W71" s="2">
        <f t="shared" si="5"/>
        <v>-5013.9423222479527</v>
      </c>
      <c r="X71" s="2">
        <f t="shared" si="6"/>
        <v>642.77183693526899</v>
      </c>
      <c r="Y71" s="2"/>
    </row>
    <row r="72" spans="2:25" x14ac:dyDescent="0.25">
      <c r="B72" s="2"/>
      <c r="C72" s="2"/>
      <c r="D72" s="2" t="s">
        <v>5</v>
      </c>
      <c r="E72" s="2"/>
      <c r="F72" s="2"/>
      <c r="G72" s="2"/>
      <c r="H72" s="2"/>
      <c r="I72" s="2"/>
      <c r="J72" s="2"/>
      <c r="K72" s="2"/>
      <c r="L72" s="2"/>
      <c r="M72" s="17">
        <f t="shared" si="7"/>
        <v>5200</v>
      </c>
      <c r="N72" s="2">
        <f t="shared" si="8"/>
        <v>45</v>
      </c>
      <c r="O72" s="2">
        <f t="shared" si="9"/>
        <v>0.78537500000000005</v>
      </c>
      <c r="P72" s="2">
        <f t="shared" si="1"/>
        <v>3677.0404319597546</v>
      </c>
      <c r="Q72" s="2">
        <f t="shared" si="2"/>
        <v>3676.8700904074958</v>
      </c>
      <c r="R72" s="2">
        <f t="shared" si="0"/>
        <v>3676.8700904074958</v>
      </c>
      <c r="S72" s="2">
        <f t="shared" si="10"/>
        <v>4814</v>
      </c>
      <c r="T72" s="13">
        <f t="shared" si="10"/>
        <v>47.1</v>
      </c>
      <c r="U72" s="2">
        <f t="shared" si="3"/>
        <v>0.82202583333333334</v>
      </c>
      <c r="V72" s="2">
        <f t="shared" si="4"/>
        <v>0.78537500000000005</v>
      </c>
      <c r="W72" s="2">
        <f t="shared" si="5"/>
        <v>-5072.8768400077397</v>
      </c>
      <c r="X72" s="2">
        <f t="shared" si="6"/>
        <v>707.09040200144148</v>
      </c>
      <c r="Y72" s="2"/>
    </row>
    <row r="73" spans="2:25" x14ac:dyDescent="0.25">
      <c r="B73" s="2"/>
      <c r="C73" s="2" t="s">
        <v>44</v>
      </c>
      <c r="D73" s="2">
        <f>B30*3.14/180</f>
        <v>0</v>
      </c>
      <c r="E73" s="2"/>
      <c r="F73" s="2"/>
      <c r="G73" s="2"/>
      <c r="H73" s="2">
        <f>C29*COS(D73)</f>
        <v>5780.346820809249</v>
      </c>
      <c r="I73" s="2">
        <f>C29*SIN(D73)</f>
        <v>0</v>
      </c>
      <c r="J73" s="2"/>
      <c r="K73" s="2"/>
      <c r="L73" s="2"/>
      <c r="M73" s="17">
        <f t="shared" si="7"/>
        <v>5200</v>
      </c>
      <c r="N73" s="2">
        <f t="shared" si="8"/>
        <v>50</v>
      </c>
      <c r="O73" s="2">
        <f t="shared" si="9"/>
        <v>0.87263888888888896</v>
      </c>
      <c r="P73" s="2">
        <f t="shared" si="1"/>
        <v>3342.5980912605992</v>
      </c>
      <c r="Q73" s="2">
        <f t="shared" si="2"/>
        <v>3983.3450767289796</v>
      </c>
      <c r="R73" s="2">
        <f t="shared" si="0"/>
        <v>3983.3450767289796</v>
      </c>
      <c r="S73" s="2">
        <f t="shared" si="10"/>
        <v>4814</v>
      </c>
      <c r="T73" s="13">
        <f t="shared" si="10"/>
        <v>47.1</v>
      </c>
      <c r="U73" s="2">
        <f t="shared" si="3"/>
        <v>0.82202583333333334</v>
      </c>
      <c r="V73" s="2">
        <f t="shared" si="4"/>
        <v>0.82202583333333334</v>
      </c>
      <c r="W73" s="2">
        <f t="shared" si="5"/>
        <v>-5099.2613712103239</v>
      </c>
      <c r="X73" s="2">
        <f t="shared" si="6"/>
        <v>732.52639493300933</v>
      </c>
      <c r="Y73" s="2"/>
    </row>
    <row r="74" spans="2:25" x14ac:dyDescent="0.25">
      <c r="B74" s="2"/>
      <c r="C74" s="2" t="s">
        <v>47</v>
      </c>
      <c r="D74" s="2">
        <f>B36*3.14/180</f>
        <v>0.31239914470607155</v>
      </c>
      <c r="E74" s="2"/>
      <c r="F74" s="2"/>
      <c r="G74" s="2"/>
      <c r="H74" s="2">
        <f>B24*G21*COS(D74)</f>
        <v>4613.3333333333294</v>
      </c>
      <c r="I74" s="2">
        <f>B24*G21*SIN(D74)</f>
        <v>1489.9907102334</v>
      </c>
      <c r="J74" s="2">
        <f>H67*COS(D74)</f>
        <v>-1417.8735953832013</v>
      </c>
      <c r="K74" s="2"/>
      <c r="L74" s="2"/>
      <c r="M74" s="17">
        <f t="shared" si="7"/>
        <v>5200</v>
      </c>
      <c r="N74" s="2">
        <f t="shared" si="8"/>
        <v>55</v>
      </c>
      <c r="O74" s="2">
        <f t="shared" si="9"/>
        <v>0.95990277777777777</v>
      </c>
      <c r="P74" s="2">
        <f t="shared" si="1"/>
        <v>2982.7180603299335</v>
      </c>
      <c r="Q74" s="2">
        <f t="shared" si="2"/>
        <v>4259.5061888183282</v>
      </c>
      <c r="R74" s="2">
        <f t="shared" si="0"/>
        <v>4259.5061888183282</v>
      </c>
      <c r="S74" s="2">
        <f t="shared" si="10"/>
        <v>4814</v>
      </c>
      <c r="T74" s="13">
        <f t="shared" si="10"/>
        <v>47.1</v>
      </c>
      <c r="U74" s="2">
        <f t="shared" si="3"/>
        <v>0.82202583333333334</v>
      </c>
      <c r="V74" s="2">
        <f t="shared" si="4"/>
        <v>0.82202583333333334</v>
      </c>
      <c r="W74" s="2">
        <f t="shared" si="5"/>
        <v>-5099.2613712103239</v>
      </c>
      <c r="X74" s="2">
        <f t="shared" si="6"/>
        <v>732.52639493300933</v>
      </c>
      <c r="Y74" s="2"/>
    </row>
    <row r="75" spans="2:25" x14ac:dyDescent="0.25">
      <c r="B75" s="2"/>
      <c r="C75" s="2" t="s">
        <v>45</v>
      </c>
      <c r="D75" s="2">
        <f>B38*3.14/180</f>
        <v>0.82165680361449778</v>
      </c>
      <c r="E75" s="2"/>
      <c r="F75" s="2"/>
      <c r="G75" s="2"/>
      <c r="H75" s="2">
        <f>B26*COS(D75)</f>
        <v>4290.356110575849</v>
      </c>
      <c r="I75" s="2">
        <f>B26*SIN(D75)</f>
        <v>4613.3333333333303</v>
      </c>
      <c r="J75" s="2"/>
      <c r="K75" s="2"/>
      <c r="L75" s="2"/>
      <c r="M75" s="17">
        <f t="shared" si="7"/>
        <v>5200</v>
      </c>
      <c r="N75" s="2">
        <f t="shared" si="8"/>
        <v>60</v>
      </c>
      <c r="O75" s="2">
        <f t="shared" si="9"/>
        <v>1.0471666666666668</v>
      </c>
      <c r="P75" s="2">
        <f t="shared" si="1"/>
        <v>2600.1390820549891</v>
      </c>
      <c r="Q75" s="2">
        <f t="shared" si="2"/>
        <v>4503.2517977535126</v>
      </c>
      <c r="R75" s="2">
        <f t="shared" si="0"/>
        <v>4503.2517977535126</v>
      </c>
      <c r="S75" s="2">
        <f t="shared" si="10"/>
        <v>4814</v>
      </c>
      <c r="T75" s="13">
        <f t="shared" si="10"/>
        <v>47.1</v>
      </c>
      <c r="U75" s="2">
        <f t="shared" si="3"/>
        <v>0.82202583333333334</v>
      </c>
      <c r="V75" s="2">
        <f t="shared" si="4"/>
        <v>0.82202583333333334</v>
      </c>
      <c r="W75" s="2">
        <f t="shared" si="5"/>
        <v>-5099.2613712103239</v>
      </c>
      <c r="X75" s="2">
        <f t="shared" si="6"/>
        <v>732.52639493300933</v>
      </c>
      <c r="Y75" s="2"/>
    </row>
    <row r="76" spans="2:25" x14ac:dyDescent="0.25">
      <c r="B76" s="2"/>
      <c r="C76" s="2" t="s">
        <v>46</v>
      </c>
      <c r="D76" s="2">
        <f>B40*3.14/180</f>
        <v>-2.8291935088837215</v>
      </c>
      <c r="E76" s="2"/>
      <c r="F76" s="2"/>
      <c r="G76" s="2"/>
      <c r="H76" s="2">
        <f>B28*G21*COS(D76)</f>
        <v>-4613.3333333333294</v>
      </c>
      <c r="I76" s="2">
        <f>B28*G21*SIN(D76)</f>
        <v>-1489.9907102334012</v>
      </c>
      <c r="J76" s="2"/>
      <c r="K76" s="2"/>
      <c r="L76" s="2"/>
      <c r="M76" s="17">
        <f t="shared" si="7"/>
        <v>5200</v>
      </c>
      <c r="N76" s="2">
        <f t="shared" si="8"/>
        <v>65</v>
      </c>
      <c r="O76" s="2">
        <f t="shared" si="9"/>
        <v>1.1344305555555556</v>
      </c>
      <c r="P76" s="2">
        <f t="shared" si="1"/>
        <v>2197.7726418350717</v>
      </c>
      <c r="Q76" s="2">
        <f t="shared" si="2"/>
        <v>4712.7269616222511</v>
      </c>
      <c r="R76" s="2">
        <f t="shared" si="0"/>
        <v>4712.7269616222511</v>
      </c>
      <c r="S76" s="2">
        <f t="shared" si="10"/>
        <v>4814</v>
      </c>
      <c r="T76" s="13">
        <f t="shared" si="10"/>
        <v>47.1</v>
      </c>
      <c r="U76" s="2">
        <f t="shared" si="3"/>
        <v>0.82202583333333334</v>
      </c>
      <c r="V76" s="2">
        <f t="shared" si="4"/>
        <v>0.82202583333333334</v>
      </c>
      <c r="W76" s="2">
        <f t="shared" si="5"/>
        <v>-5099.2613712103239</v>
      </c>
      <c r="X76" s="2">
        <f t="shared" si="6"/>
        <v>732.52639493300933</v>
      </c>
      <c r="Y76" s="2"/>
    </row>
    <row r="77" spans="2:25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17">
        <f t="shared" si="7"/>
        <v>5200</v>
      </c>
      <c r="N77" s="2">
        <f t="shared" si="8"/>
        <v>70</v>
      </c>
      <c r="O77" s="2">
        <f t="shared" si="9"/>
        <v>1.2216944444444444</v>
      </c>
      <c r="P77" s="2">
        <f t="shared" si="1"/>
        <v>1778.6808107258159</v>
      </c>
      <c r="Q77" s="2">
        <f t="shared" si="2"/>
        <v>4886.3375419178483</v>
      </c>
      <c r="R77" s="2">
        <f t="shared" si="0"/>
        <v>4814</v>
      </c>
      <c r="S77" s="2">
        <f t="shared" si="10"/>
        <v>4814</v>
      </c>
      <c r="T77" s="13">
        <f t="shared" si="10"/>
        <v>47.1</v>
      </c>
      <c r="U77" s="2">
        <f t="shared" si="3"/>
        <v>0.82202583333333334</v>
      </c>
      <c r="V77" s="2">
        <f t="shared" si="4"/>
        <v>0.82202583333333334</v>
      </c>
      <c r="W77" s="2">
        <f t="shared" si="5"/>
        <v>-5099.2613712103239</v>
      </c>
      <c r="X77" s="2">
        <f t="shared" si="6"/>
        <v>732.52639493300933</v>
      </c>
      <c r="Y77" s="2"/>
    </row>
    <row r="78" spans="2:25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17">
        <f t="shared" si="7"/>
        <v>5200</v>
      </c>
      <c r="N78" s="2">
        <f t="shared" si="8"/>
        <v>75</v>
      </c>
      <c r="O78" s="2">
        <f t="shared" si="9"/>
        <v>1.3089583333333334</v>
      </c>
      <c r="P78" s="2">
        <f t="shared" si="1"/>
        <v>1346.0529426032331</v>
      </c>
      <c r="Q78" s="2">
        <f t="shared" si="2"/>
        <v>5022.7623351806296</v>
      </c>
      <c r="R78" s="2">
        <f t="shared" si="0"/>
        <v>4814</v>
      </c>
      <c r="S78" s="2">
        <f t="shared" si="10"/>
        <v>4814</v>
      </c>
      <c r="T78" s="13">
        <f t="shared" si="10"/>
        <v>47.1</v>
      </c>
      <c r="U78" s="2">
        <f t="shared" si="3"/>
        <v>0.82202583333333334</v>
      </c>
      <c r="V78" s="2">
        <f t="shared" si="4"/>
        <v>0.82202583333333334</v>
      </c>
      <c r="W78" s="2">
        <f t="shared" si="5"/>
        <v>-5099.2613712103239</v>
      </c>
      <c r="X78" s="2">
        <f t="shared" si="6"/>
        <v>732.52639493300933</v>
      </c>
      <c r="Y78" s="2"/>
    </row>
    <row r="79" spans="2:25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17">
        <f t="shared" si="7"/>
        <v>5200</v>
      </c>
      <c r="N79" s="2">
        <f t="shared" si="8"/>
        <v>80</v>
      </c>
      <c r="O79" s="2">
        <f t="shared" si="9"/>
        <v>1.3962222222222223</v>
      </c>
      <c r="P79" s="2">
        <f t="shared" si="1"/>
        <v>903.18140268574439</v>
      </c>
      <c r="Q79" s="2">
        <f t="shared" si="2"/>
        <v>5120.9631275613192</v>
      </c>
      <c r="R79" s="2">
        <f t="shared" si="0"/>
        <v>4814</v>
      </c>
      <c r="S79" s="2">
        <f t="shared" si="10"/>
        <v>4814</v>
      </c>
      <c r="T79" s="13">
        <f t="shared" si="10"/>
        <v>47.1</v>
      </c>
      <c r="U79" s="2">
        <f t="shared" si="3"/>
        <v>0.82202583333333334</v>
      </c>
      <c r="V79" s="2">
        <f t="shared" si="4"/>
        <v>0.82202583333333334</v>
      </c>
      <c r="W79" s="2">
        <f t="shared" si="5"/>
        <v>-5099.2613712103239</v>
      </c>
      <c r="X79" s="2">
        <f t="shared" si="6"/>
        <v>732.52639493300933</v>
      </c>
      <c r="Y79" s="2"/>
    </row>
    <row r="80" spans="2:25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17">
        <f t="shared" si="7"/>
        <v>5200</v>
      </c>
      <c r="N80" s="2">
        <f t="shared" si="8"/>
        <v>85</v>
      </c>
      <c r="O80" s="2">
        <f t="shared" si="9"/>
        <v>1.4834861111111113</v>
      </c>
      <c r="P80" s="2">
        <f t="shared" si="1"/>
        <v>453.43651212390074</v>
      </c>
      <c r="Q80" s="2">
        <f t="shared" si="2"/>
        <v>5180.1925957895537</v>
      </c>
      <c r="R80" s="2">
        <f t="shared" si="0"/>
        <v>4814</v>
      </c>
      <c r="S80" s="2">
        <f t="shared" si="10"/>
        <v>4814</v>
      </c>
      <c r="T80" s="13">
        <f t="shared" si="10"/>
        <v>47.1</v>
      </c>
      <c r="U80" s="2">
        <f t="shared" si="3"/>
        <v>0.82202583333333334</v>
      </c>
      <c r="V80" s="2">
        <f t="shared" si="4"/>
        <v>0.82202583333333334</v>
      </c>
      <c r="W80" s="2">
        <f t="shared" si="5"/>
        <v>-5099.2613712103239</v>
      </c>
      <c r="X80" s="2">
        <f t="shared" si="6"/>
        <v>732.52639493300933</v>
      </c>
      <c r="Y80" s="2"/>
    </row>
    <row r="81" spans="2:25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17">
        <f t="shared" si="7"/>
        <v>5200</v>
      </c>
      <c r="N81" s="2">
        <f t="shared" si="8"/>
        <v>90</v>
      </c>
      <c r="O81" s="2">
        <f t="shared" si="9"/>
        <v>1.5707500000000001</v>
      </c>
      <c r="P81" s="2">
        <f t="shared" si="1"/>
        <v>0.24089933337578048</v>
      </c>
      <c r="Q81" s="2">
        <f t="shared" si="2"/>
        <v>5199.9999944199526</v>
      </c>
      <c r="R81" s="2">
        <f t="shared" si="0"/>
        <v>4814</v>
      </c>
      <c r="S81" s="2">
        <f t="shared" si="10"/>
        <v>4814</v>
      </c>
      <c r="T81" s="13">
        <f t="shared" si="10"/>
        <v>47.1</v>
      </c>
      <c r="U81" s="2">
        <f t="shared" si="3"/>
        <v>0.82202583333333334</v>
      </c>
      <c r="V81" s="2">
        <f t="shared" si="4"/>
        <v>0.82202583333333334</v>
      </c>
      <c r="W81" s="2">
        <f t="shared" si="5"/>
        <v>-5099.2613712103239</v>
      </c>
      <c r="X81" s="2">
        <f t="shared" si="6"/>
        <v>732.52639493300933</v>
      </c>
      <c r="Y81" s="2"/>
    </row>
    <row r="82" spans="2:25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17">
        <f t="shared" ref="M82:M99" si="11">M81</f>
        <v>5200</v>
      </c>
      <c r="N82" s="2">
        <f t="shared" ref="N82:N99" si="12">N81+5</f>
        <v>95</v>
      </c>
      <c r="O82" s="2">
        <f t="shared" si="9"/>
        <v>1.6580138888888889</v>
      </c>
      <c r="P82" s="2">
        <f t="shared" ref="P82:P99" si="13">M82*COS(O82)</f>
        <v>-452.95654673846269</v>
      </c>
      <c r="Q82" s="2">
        <f t="shared" ref="Q82:Q99" si="14">M82*SIN(O82)</f>
        <v>5180.2345860749174</v>
      </c>
      <c r="R82" s="2">
        <f t="shared" ref="R82:R99" si="15">IF(Q82&gt;S82,S82,Q82)</f>
        <v>4814</v>
      </c>
      <c r="S82" s="2">
        <f t="shared" ref="S82:T99" si="16">S81</f>
        <v>4814</v>
      </c>
      <c r="T82" s="13">
        <f t="shared" si="16"/>
        <v>47.1</v>
      </c>
      <c r="U82" s="2">
        <f t="shared" si="3"/>
        <v>0.82202583333333334</v>
      </c>
      <c r="V82" s="2">
        <f t="shared" si="4"/>
        <v>0.82202583333333334</v>
      </c>
      <c r="W82" s="2">
        <f t="shared" si="5"/>
        <v>-5099.2613712103239</v>
      </c>
      <c r="X82" s="2">
        <f t="shared" si="6"/>
        <v>732.52639493300933</v>
      </c>
      <c r="Y82" s="2"/>
    </row>
    <row r="83" spans="2:25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17">
        <f t="shared" si="11"/>
        <v>5200</v>
      </c>
      <c r="N83" s="2">
        <f t="shared" si="12"/>
        <v>100</v>
      </c>
      <c r="O83" s="2">
        <f t="shared" si="9"/>
        <v>1.7452777777777779</v>
      </c>
      <c r="P83" s="2">
        <f t="shared" si="13"/>
        <v>-902.70692319269165</v>
      </c>
      <c r="Q83" s="2">
        <f t="shared" si="14"/>
        <v>5121.0467885794587</v>
      </c>
      <c r="R83" s="2">
        <f t="shared" si="15"/>
        <v>4814</v>
      </c>
      <c r="S83" s="2">
        <f t="shared" si="16"/>
        <v>4814</v>
      </c>
      <c r="T83" s="13">
        <f t="shared" si="16"/>
        <v>47.1</v>
      </c>
      <c r="U83" s="2">
        <f t="shared" si="3"/>
        <v>0.82202583333333334</v>
      </c>
      <c r="V83" s="2">
        <f t="shared" si="4"/>
        <v>0.82202583333333334</v>
      </c>
      <c r="W83" s="2">
        <f t="shared" si="5"/>
        <v>-5099.2613712103239</v>
      </c>
      <c r="X83" s="2">
        <f t="shared" si="6"/>
        <v>732.52639493300933</v>
      </c>
      <c r="Y83" s="2"/>
    </row>
    <row r="84" spans="2:25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17">
        <f t="shared" si="11"/>
        <v>5200</v>
      </c>
      <c r="N84" s="2">
        <f t="shared" si="12"/>
        <v>105</v>
      </c>
      <c r="O84" s="2">
        <f t="shared" si="9"/>
        <v>1.8325416666666667</v>
      </c>
      <c r="P84" s="2">
        <f t="shared" si="13"/>
        <v>-1345.5875598651448</v>
      </c>
      <c r="Q84" s="2">
        <f t="shared" si="14"/>
        <v>5022.8870302582127</v>
      </c>
      <c r="R84" s="2">
        <f t="shared" si="15"/>
        <v>4814</v>
      </c>
      <c r="S84" s="2">
        <f t="shared" si="16"/>
        <v>4814</v>
      </c>
      <c r="T84" s="13">
        <f t="shared" si="16"/>
        <v>47.1</v>
      </c>
      <c r="U84" s="2">
        <f t="shared" si="3"/>
        <v>0.82202583333333334</v>
      </c>
      <c r="V84" s="2">
        <f t="shared" si="4"/>
        <v>0.82202583333333334</v>
      </c>
      <c r="W84" s="2">
        <f t="shared" si="5"/>
        <v>-5099.2613712103239</v>
      </c>
      <c r="X84" s="2">
        <f t="shared" si="6"/>
        <v>732.52639493300933</v>
      </c>
      <c r="Y84" s="2"/>
    </row>
    <row r="85" spans="2:25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17">
        <f t="shared" si="11"/>
        <v>5200</v>
      </c>
      <c r="N85" s="2">
        <f t="shared" si="12"/>
        <v>110</v>
      </c>
      <c r="O85" s="2">
        <f t="shared" si="9"/>
        <v>1.9198055555555555</v>
      </c>
      <c r="P85" s="2">
        <f t="shared" si="13"/>
        <v>-1778.2280663775537</v>
      </c>
      <c r="Q85" s="2">
        <f t="shared" si="14"/>
        <v>4886.502322105981</v>
      </c>
      <c r="R85" s="2">
        <f t="shared" si="15"/>
        <v>4814</v>
      </c>
      <c r="S85" s="2">
        <f t="shared" si="16"/>
        <v>4814</v>
      </c>
      <c r="T85" s="13">
        <f t="shared" si="16"/>
        <v>47.1</v>
      </c>
      <c r="U85" s="2">
        <f t="shared" si="3"/>
        <v>0.82202583333333334</v>
      </c>
      <c r="V85" s="2">
        <f t="shared" si="4"/>
        <v>0.82202583333333334</v>
      </c>
      <c r="W85" s="2">
        <f t="shared" si="5"/>
        <v>-5099.2613712103239</v>
      </c>
      <c r="X85" s="2">
        <f t="shared" si="6"/>
        <v>732.52639493300933</v>
      </c>
      <c r="Y85" s="2"/>
    </row>
    <row r="86" spans="2:25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17">
        <f t="shared" si="11"/>
        <v>5200</v>
      </c>
      <c r="N86" s="2">
        <f t="shared" si="12"/>
        <v>115</v>
      </c>
      <c r="O86" s="2">
        <f t="shared" si="9"/>
        <v>2.0070694444444448</v>
      </c>
      <c r="P86" s="2">
        <f t="shared" si="13"/>
        <v>-2197.3359813313928</v>
      </c>
      <c r="Q86" s="2">
        <f t="shared" si="14"/>
        <v>4712.9305729181297</v>
      </c>
      <c r="R86" s="2">
        <f t="shared" si="15"/>
        <v>4712.9305729181297</v>
      </c>
      <c r="S86" s="2">
        <f t="shared" si="16"/>
        <v>4814</v>
      </c>
      <c r="T86" s="13">
        <f t="shared" si="16"/>
        <v>47.1</v>
      </c>
      <c r="U86" s="2">
        <f t="shared" si="3"/>
        <v>0.82202583333333334</v>
      </c>
      <c r="V86" s="2">
        <f t="shared" si="4"/>
        <v>0.82202583333333334</v>
      </c>
      <c r="W86" s="2">
        <f t="shared" si="5"/>
        <v>-5099.2613712103239</v>
      </c>
      <c r="X86" s="2">
        <f t="shared" si="6"/>
        <v>732.52639493300933</v>
      </c>
      <c r="Y86" s="2"/>
    </row>
    <row r="87" spans="2:25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17">
        <f t="shared" si="11"/>
        <v>5200</v>
      </c>
      <c r="N87" s="2">
        <f t="shared" si="12"/>
        <v>120</v>
      </c>
      <c r="O87" s="2">
        <f t="shared" si="9"/>
        <v>2.0943333333333336</v>
      </c>
      <c r="P87" s="2">
        <f t="shared" si="13"/>
        <v>-2599.7218284500918</v>
      </c>
      <c r="Q87" s="2">
        <f t="shared" si="14"/>
        <v>4503.4926906435749</v>
      </c>
      <c r="R87" s="2">
        <f t="shared" si="15"/>
        <v>4503.4926906435749</v>
      </c>
      <c r="S87" s="2">
        <f t="shared" si="16"/>
        <v>4814</v>
      </c>
      <c r="T87" s="13">
        <f t="shared" si="16"/>
        <v>47.1</v>
      </c>
      <c r="U87" s="2">
        <f t="shared" si="3"/>
        <v>0.82202583333333334</v>
      </c>
      <c r="V87" s="2">
        <f t="shared" si="4"/>
        <v>0.82202583333333334</v>
      </c>
      <c r="W87" s="2">
        <f t="shared" si="5"/>
        <v>-5099.2613712103239</v>
      </c>
      <c r="X87" s="2">
        <f t="shared" si="6"/>
        <v>732.52639493300933</v>
      </c>
      <c r="Y87" s="2"/>
    </row>
    <row r="88" spans="2:25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17">
        <f t="shared" si="11"/>
        <v>5200</v>
      </c>
      <c r="N88" s="2">
        <f t="shared" si="12"/>
        <v>125</v>
      </c>
      <c r="O88" s="2">
        <f t="shared" si="9"/>
        <v>2.1815972222222224</v>
      </c>
      <c r="P88" s="2">
        <f t="shared" si="13"/>
        <v>-2982.3233889885068</v>
      </c>
      <c r="Q88" s="2">
        <f t="shared" si="14"/>
        <v>4259.782530070298</v>
      </c>
      <c r="R88" s="2">
        <f t="shared" si="15"/>
        <v>4259.782530070298</v>
      </c>
      <c r="S88" s="2">
        <f t="shared" si="16"/>
        <v>4814</v>
      </c>
      <c r="T88" s="13">
        <f t="shared" si="16"/>
        <v>47.1</v>
      </c>
      <c r="U88" s="2">
        <f t="shared" si="3"/>
        <v>0.82202583333333334</v>
      </c>
      <c r="V88" s="2">
        <f t="shared" si="4"/>
        <v>0.82202583333333334</v>
      </c>
      <c r="W88" s="2">
        <f t="shared" si="5"/>
        <v>-5099.2613712103239</v>
      </c>
      <c r="X88" s="2">
        <f t="shared" si="6"/>
        <v>732.52639493300933</v>
      </c>
      <c r="Y88" s="2"/>
    </row>
    <row r="89" spans="2:25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17">
        <f t="shared" si="11"/>
        <v>5200</v>
      </c>
      <c r="N89" s="2">
        <f t="shared" si="12"/>
        <v>130</v>
      </c>
      <c r="O89" s="2">
        <f t="shared" si="9"/>
        <v>2.2688611111111112</v>
      </c>
      <c r="P89" s="2">
        <f t="shared" si="13"/>
        <v>-3342.2290056928036</v>
      </c>
      <c r="Q89" s="2">
        <f t="shared" si="14"/>
        <v>3983.65476334304</v>
      </c>
      <c r="R89" s="2">
        <f t="shared" si="15"/>
        <v>3983.65476334304</v>
      </c>
      <c r="S89" s="2">
        <f t="shared" si="16"/>
        <v>4814</v>
      </c>
      <c r="T89" s="13">
        <f t="shared" si="16"/>
        <v>47.1</v>
      </c>
      <c r="U89" s="2">
        <f t="shared" si="3"/>
        <v>0.82202583333333334</v>
      </c>
      <c r="V89" s="2">
        <f t="shared" si="4"/>
        <v>0.82202583333333334</v>
      </c>
      <c r="W89" s="2">
        <f t="shared" si="5"/>
        <v>-5099.2613712103239</v>
      </c>
      <c r="X89" s="2">
        <f t="shared" si="6"/>
        <v>732.52639493300933</v>
      </c>
      <c r="Y89" s="2"/>
    </row>
    <row r="90" spans="2:25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17">
        <f t="shared" si="11"/>
        <v>5200</v>
      </c>
      <c r="N90" s="2">
        <f t="shared" si="12"/>
        <v>135</v>
      </c>
      <c r="O90" s="2">
        <f t="shared" si="9"/>
        <v>2.356125</v>
      </c>
      <c r="P90" s="2">
        <f t="shared" si="13"/>
        <v>-3676.6997409640403</v>
      </c>
      <c r="Q90" s="2">
        <f t="shared" si="14"/>
        <v>3677.210765620453</v>
      </c>
      <c r="R90" s="2">
        <f t="shared" si="15"/>
        <v>3677.210765620453</v>
      </c>
      <c r="S90" s="2">
        <f t="shared" si="16"/>
        <v>4814</v>
      </c>
      <c r="T90" s="13">
        <f t="shared" si="16"/>
        <v>47.1</v>
      </c>
      <c r="U90" s="2">
        <f t="shared" si="3"/>
        <v>0.82202583333333334</v>
      </c>
      <c r="V90" s="2">
        <f t="shared" si="4"/>
        <v>0.82202583333333334</v>
      </c>
      <c r="W90" s="2">
        <f t="shared" si="5"/>
        <v>-5099.2613712103239</v>
      </c>
      <c r="X90" s="2">
        <f t="shared" si="6"/>
        <v>732.52639493300933</v>
      </c>
      <c r="Y90" s="2"/>
    </row>
    <row r="91" spans="2:25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17">
        <f t="shared" si="11"/>
        <v>5200</v>
      </c>
      <c r="N91" s="2">
        <f t="shared" si="12"/>
        <v>140</v>
      </c>
      <c r="O91" s="2">
        <f t="shared" si="9"/>
        <v>2.4433888888888888</v>
      </c>
      <c r="P91" s="2">
        <f t="shared" si="13"/>
        <v>-3983.190220598367</v>
      </c>
      <c r="Q91" s="2">
        <f t="shared" si="14"/>
        <v>3342.7826232840107</v>
      </c>
      <c r="R91" s="2">
        <f t="shared" si="15"/>
        <v>3342.7826232840107</v>
      </c>
      <c r="S91" s="2">
        <f t="shared" si="16"/>
        <v>4814</v>
      </c>
      <c r="T91" s="13">
        <f t="shared" si="16"/>
        <v>47.1</v>
      </c>
      <c r="U91" s="2">
        <f t="shared" si="3"/>
        <v>0.82202583333333334</v>
      </c>
      <c r="V91" s="2">
        <f t="shared" si="4"/>
        <v>0.82202583333333334</v>
      </c>
      <c r="W91" s="2">
        <f t="shared" si="5"/>
        <v>-5099.2613712103239</v>
      </c>
      <c r="X91" s="2">
        <f t="shared" si="6"/>
        <v>732.52639493300933</v>
      </c>
      <c r="Y91" s="2"/>
    </row>
    <row r="92" spans="2:25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17">
        <f t="shared" si="11"/>
        <v>5200</v>
      </c>
      <c r="N92" s="2">
        <f t="shared" si="12"/>
        <v>145</v>
      </c>
      <c r="O92" s="2">
        <f t="shared" si="9"/>
        <v>2.5306527777777781</v>
      </c>
      <c r="P92" s="2">
        <f t="shared" si="13"/>
        <v>-4259.3680044797475</v>
      </c>
      <c r="Q92" s="2">
        <f t="shared" si="14"/>
        <v>2982.9153863987185</v>
      </c>
      <c r="R92" s="2">
        <f t="shared" si="15"/>
        <v>2982.9153863987185</v>
      </c>
      <c r="S92" s="2">
        <f t="shared" si="16"/>
        <v>4814</v>
      </c>
      <c r="T92" s="13">
        <f t="shared" si="16"/>
        <v>47.1</v>
      </c>
      <c r="U92" s="2">
        <f t="shared" si="3"/>
        <v>0.82202583333333334</v>
      </c>
      <c r="V92" s="2">
        <f t="shared" si="4"/>
        <v>0.82202583333333334</v>
      </c>
      <c r="W92" s="2">
        <f t="shared" si="5"/>
        <v>-5099.2613712103239</v>
      </c>
      <c r="X92" s="2">
        <f t="shared" si="6"/>
        <v>732.52639493300933</v>
      </c>
      <c r="Y92" s="2"/>
    </row>
    <row r="93" spans="2:25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17">
        <f t="shared" si="11"/>
        <v>5200</v>
      </c>
      <c r="N93" s="2">
        <f t="shared" si="12"/>
        <v>150</v>
      </c>
      <c r="O93" s="2">
        <f t="shared" si="9"/>
        <v>2.6179166666666669</v>
      </c>
      <c r="P93" s="2">
        <f t="shared" si="13"/>
        <v>-4503.1313368112224</v>
      </c>
      <c r="Q93" s="2">
        <f t="shared" si="14"/>
        <v>2600.3477004871434</v>
      </c>
      <c r="R93" s="2">
        <f t="shared" si="15"/>
        <v>2600.3477004871434</v>
      </c>
      <c r="S93" s="2">
        <f t="shared" si="16"/>
        <v>4814</v>
      </c>
      <c r="T93" s="13">
        <f t="shared" si="16"/>
        <v>47.1</v>
      </c>
      <c r="U93" s="2">
        <f t="shared" si="3"/>
        <v>0.82202583333333334</v>
      </c>
      <c r="V93" s="2">
        <f t="shared" si="4"/>
        <v>0.82202583333333334</v>
      </c>
      <c r="W93" s="2">
        <f t="shared" si="5"/>
        <v>-5099.2613712103239</v>
      </c>
      <c r="X93" s="2">
        <f t="shared" si="6"/>
        <v>732.52639493300933</v>
      </c>
      <c r="Y93" s="2"/>
    </row>
    <row r="94" spans="2:25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17">
        <f t="shared" si="11"/>
        <v>5200</v>
      </c>
      <c r="N94" s="2">
        <f t="shared" si="12"/>
        <v>155</v>
      </c>
      <c r="O94" s="2">
        <f t="shared" si="9"/>
        <v>2.7051805555555557</v>
      </c>
      <c r="P94" s="2">
        <f t="shared" si="13"/>
        <v>-4712.6251408027183</v>
      </c>
      <c r="Q94" s="2">
        <f t="shared" si="14"/>
        <v>2197.9909650119489</v>
      </c>
      <c r="R94" s="2">
        <f t="shared" si="15"/>
        <v>2197.9909650119489</v>
      </c>
      <c r="S94" s="2">
        <f t="shared" si="16"/>
        <v>4814</v>
      </c>
      <c r="T94" s="13">
        <f t="shared" si="16"/>
        <v>47.1</v>
      </c>
      <c r="U94" s="2">
        <f t="shared" si="3"/>
        <v>0.82202583333333334</v>
      </c>
      <c r="V94" s="2">
        <f t="shared" si="4"/>
        <v>0.82202583333333334</v>
      </c>
      <c r="W94" s="2">
        <f t="shared" si="5"/>
        <v>-5099.2613712103239</v>
      </c>
      <c r="X94" s="2">
        <f t="shared" si="6"/>
        <v>732.52639493300933</v>
      </c>
      <c r="Y94" s="2"/>
    </row>
    <row r="95" spans="2:25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17">
        <f t="shared" si="11"/>
        <v>5200</v>
      </c>
      <c r="N95" s="2">
        <f t="shared" si="12"/>
        <v>160</v>
      </c>
      <c r="O95" s="2">
        <f t="shared" si="9"/>
        <v>2.7924444444444445</v>
      </c>
      <c r="P95" s="2">
        <f t="shared" si="13"/>
        <v>-4886.2551360933121</v>
      </c>
      <c r="Q95" s="2">
        <f t="shared" si="14"/>
        <v>1778.9071771741571</v>
      </c>
      <c r="R95" s="2">
        <f t="shared" si="15"/>
        <v>1778.9071771741571</v>
      </c>
      <c r="S95" s="2">
        <f t="shared" si="16"/>
        <v>4814</v>
      </c>
      <c r="T95" s="13">
        <f t="shared" si="16"/>
        <v>47.1</v>
      </c>
      <c r="U95" s="2">
        <f t="shared" si="3"/>
        <v>0.82202583333333334</v>
      </c>
      <c r="V95" s="2">
        <f t="shared" si="4"/>
        <v>0.82202583333333334</v>
      </c>
      <c r="W95" s="2">
        <f t="shared" si="5"/>
        <v>-5099.2613712103239</v>
      </c>
      <c r="X95" s="2">
        <f t="shared" si="6"/>
        <v>732.52639493300933</v>
      </c>
      <c r="Y95" s="2"/>
    </row>
    <row r="96" spans="2:25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17">
        <f t="shared" si="11"/>
        <v>5200</v>
      </c>
      <c r="N96" s="2">
        <f t="shared" si="12"/>
        <v>165</v>
      </c>
      <c r="O96" s="2">
        <f t="shared" si="9"/>
        <v>2.8797083333333338</v>
      </c>
      <c r="P96" s="2">
        <f t="shared" si="13"/>
        <v>-5022.6999714722051</v>
      </c>
      <c r="Q96" s="2">
        <f t="shared" si="14"/>
        <v>1346.285629639234</v>
      </c>
      <c r="R96" s="2">
        <f t="shared" si="15"/>
        <v>1346.285629639234</v>
      </c>
      <c r="S96" s="2">
        <f t="shared" si="16"/>
        <v>4814</v>
      </c>
      <c r="T96" s="13">
        <f t="shared" si="16"/>
        <v>47.1</v>
      </c>
      <c r="U96" s="2">
        <f t="shared" si="3"/>
        <v>0.82202583333333334</v>
      </c>
      <c r="V96" s="2">
        <f t="shared" si="4"/>
        <v>0.82202583333333334</v>
      </c>
      <c r="W96" s="2">
        <f t="shared" si="5"/>
        <v>-5099.2613712103239</v>
      </c>
      <c r="X96" s="2">
        <f t="shared" si="6"/>
        <v>732.52639493300933</v>
      </c>
      <c r="Y96" s="2"/>
    </row>
    <row r="97" spans="2:25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17">
        <f t="shared" si="11"/>
        <v>5200</v>
      </c>
      <c r="N97" s="2">
        <f t="shared" si="12"/>
        <v>170</v>
      </c>
      <c r="O97" s="2">
        <f t="shared" si="9"/>
        <v>2.9669722222222226</v>
      </c>
      <c r="P97" s="2">
        <f t="shared" si="13"/>
        <v>-5120.9212805665047</v>
      </c>
      <c r="Q97" s="2">
        <f t="shared" si="14"/>
        <v>903.41863952495021</v>
      </c>
      <c r="R97" s="2">
        <f t="shared" si="15"/>
        <v>903.41863952495021</v>
      </c>
      <c r="S97" s="2">
        <f t="shared" si="16"/>
        <v>4814</v>
      </c>
      <c r="T97" s="13">
        <f t="shared" si="16"/>
        <v>47.1</v>
      </c>
      <c r="U97" s="2">
        <f t="shared" si="3"/>
        <v>0.82202583333333334</v>
      </c>
      <c r="V97" s="2">
        <f t="shared" si="4"/>
        <v>0.82202583333333334</v>
      </c>
      <c r="W97" s="2">
        <f t="shared" si="5"/>
        <v>-5099.2613712103239</v>
      </c>
      <c r="X97" s="2">
        <f t="shared" si="6"/>
        <v>732.52639493300933</v>
      </c>
      <c r="Y97" s="2"/>
    </row>
    <row r="98" spans="2:25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17">
        <f t="shared" si="11"/>
        <v>5200</v>
      </c>
      <c r="N98" s="2">
        <f t="shared" si="12"/>
        <v>175</v>
      </c>
      <c r="O98" s="2">
        <f t="shared" si="9"/>
        <v>3.0542361111111114</v>
      </c>
      <c r="P98" s="2">
        <f t="shared" si="13"/>
        <v>-5180.171583970473</v>
      </c>
      <c r="Q98" s="2">
        <f t="shared" si="14"/>
        <v>453.67649335714822</v>
      </c>
      <c r="R98" s="2">
        <f t="shared" si="15"/>
        <v>453.67649335714822</v>
      </c>
      <c r="S98" s="2">
        <f t="shared" si="16"/>
        <v>4814</v>
      </c>
      <c r="T98" s="13">
        <f t="shared" si="16"/>
        <v>47.1</v>
      </c>
      <c r="U98" s="2">
        <f t="shared" si="3"/>
        <v>0.82202583333333334</v>
      </c>
      <c r="V98" s="2">
        <f t="shared" si="4"/>
        <v>0.82202583333333334</v>
      </c>
      <c r="W98" s="2">
        <f t="shared" si="5"/>
        <v>-5099.2613712103239</v>
      </c>
      <c r="X98" s="2">
        <f t="shared" si="6"/>
        <v>732.52639493300933</v>
      </c>
      <c r="Y98" s="2"/>
    </row>
    <row r="99" spans="2:25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17">
        <f t="shared" si="11"/>
        <v>5200</v>
      </c>
      <c r="N99" s="2">
        <f t="shared" si="12"/>
        <v>180</v>
      </c>
      <c r="O99" s="2">
        <f t="shared" si="9"/>
        <v>3.1415000000000002</v>
      </c>
      <c r="P99" s="2">
        <f t="shared" si="13"/>
        <v>-5199.9999776798122</v>
      </c>
      <c r="Q99" s="2">
        <f t="shared" si="14"/>
        <v>0.48179866623454953</v>
      </c>
      <c r="R99" s="2">
        <f t="shared" si="15"/>
        <v>0.48179866623454953</v>
      </c>
      <c r="S99" s="2">
        <f t="shared" si="16"/>
        <v>4814</v>
      </c>
      <c r="T99" s="13">
        <f t="shared" si="16"/>
        <v>47.1</v>
      </c>
      <c r="U99" s="2">
        <f t="shared" si="3"/>
        <v>0.82202583333333334</v>
      </c>
      <c r="V99" s="2">
        <f t="shared" si="4"/>
        <v>0.82202583333333334</v>
      </c>
      <c r="W99" s="2">
        <f t="shared" si="5"/>
        <v>-5099.2613712103239</v>
      </c>
      <c r="X99" s="2">
        <f t="shared" si="6"/>
        <v>732.52639493300933</v>
      </c>
      <c r="Y99" s="2"/>
    </row>
    <row r="100" spans="2:25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7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2:25" x14ac:dyDescent="0.25">
      <c r="M101" s="15"/>
      <c r="N101" s="1"/>
      <c r="O101" s="1"/>
      <c r="P101" s="1"/>
      <c r="Q101" s="1"/>
      <c r="S101" s="1"/>
    </row>
    <row r="102" spans="2:25" x14ac:dyDescent="0.25">
      <c r="M102" s="15"/>
      <c r="N102" s="1"/>
      <c r="O102" s="1"/>
      <c r="P102" s="1"/>
      <c r="Q102" s="1"/>
      <c r="S102" s="1"/>
    </row>
    <row r="103" spans="2:25" x14ac:dyDescent="0.25">
      <c r="M103" s="15"/>
      <c r="N103" s="1"/>
      <c r="O103" s="1"/>
      <c r="P103" s="1"/>
      <c r="Q103" s="1"/>
      <c r="S103" s="1"/>
    </row>
    <row r="104" spans="2:25" x14ac:dyDescent="0.25">
      <c r="M104" s="15"/>
      <c r="N104" s="1"/>
      <c r="O104" s="1"/>
      <c r="P104" s="1"/>
      <c r="Q104" s="1"/>
      <c r="S104" s="1"/>
    </row>
    <row r="105" spans="2:25" x14ac:dyDescent="0.25">
      <c r="M105" s="15"/>
      <c r="N105" s="1"/>
      <c r="O105" s="1"/>
      <c r="P105" s="1"/>
      <c r="Q105" s="1"/>
      <c r="S105" s="1"/>
    </row>
    <row r="106" spans="2:25" x14ac:dyDescent="0.25">
      <c r="M106" s="15"/>
      <c r="N106" s="1"/>
      <c r="O106" s="1"/>
      <c r="P106" s="1"/>
      <c r="Q106" s="1"/>
      <c r="S106" s="1"/>
    </row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</sheetData>
  <sheetProtection algorithmName="SHA-512" hashValue="MNyN2Hf3w+yToopgUlHi2FhIl6wU/sdAij8gK1SeLG/TF/85vQeb9vo0rea3AHO/WRIp+KhCEC5MuaXoHFumTQ==" saltValue="waJF2E25keUpJczGAa2jWQ==" spinCount="100000" sheet="1" objects="1" scenarios="1"/>
  <pageMargins left="0.7" right="0.7" top="0.75" bottom="0.75" header="0.3" footer="0.3"/>
  <pageSetup paperSize="9"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Sheet1</vt:lpstr>
      <vt:lpstr>Sheet1!Afdrukbereik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Steennis Bram</dc:creator>
  <cp:lastModifiedBy>Bram Steennis</cp:lastModifiedBy>
  <dcterms:created xsi:type="dcterms:W3CDTF">2021-02-05T14:29:45Z</dcterms:created>
  <dcterms:modified xsi:type="dcterms:W3CDTF">2024-05-04T14:18:24Z</dcterms:modified>
</cp:coreProperties>
</file>